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975" tabRatio="571" activeTab="0"/>
  </bookViews>
  <sheets>
    <sheet name="เปรียบเทียบรายได้แยกตามส่วนงาน" sheetId="1" r:id="rId1"/>
    <sheet name="ปีกศ65" sheetId="2" r:id="rId2"/>
    <sheet name="ปีกศ64" sheetId="3" r:id="rId3"/>
    <sheet name="ปีกศ63" sheetId="4" r:id="rId4"/>
    <sheet name="ปีกศ62" sheetId="5" r:id="rId5"/>
    <sheet name="ปีกศ61" sheetId="6" r:id="rId6"/>
    <sheet name="ปีกศ60" sheetId="7" r:id="rId7"/>
    <sheet name="ปีกศ59" sheetId="8" r:id="rId8"/>
  </sheets>
  <definedNames>
    <definedName name="_xlnm.Print_Area" localSheetId="7">'ปีกศ59'!$A$1:$Z$45</definedName>
    <definedName name="_xlnm.Print_Area" localSheetId="6">'ปีกศ60'!$A$1:$Z$45</definedName>
    <definedName name="_xlnm.Print_Area" localSheetId="5">'ปีกศ61'!$A$1:$Z$45</definedName>
    <definedName name="_xlnm.Print_Area" localSheetId="4">'ปีกศ62'!$A$1:$AA$46</definedName>
    <definedName name="_xlnm.Print_Area" localSheetId="3">'ปีกศ63'!$A$1:$Z$45</definedName>
    <definedName name="_xlnm.Print_Area" localSheetId="2">'ปีกศ64'!$A$1:$AA$49</definedName>
    <definedName name="_xlnm.Print_Area" localSheetId="1">'ปีกศ65'!$A$1:$AA$50</definedName>
    <definedName name="_xlnm.Print_Area" localSheetId="0">'เปรียบเทียบรายได้แยกตามส่วนงาน'!$A$1:$AI$56</definedName>
  </definedNames>
  <calcPr fullCalcOnLoad="1"/>
</workbook>
</file>

<file path=xl/comments2.xml><?xml version="1.0" encoding="utf-8"?>
<comments xmlns="http://schemas.openxmlformats.org/spreadsheetml/2006/main">
  <authors>
    <author>Lenovo</author>
    <author>Windows User</author>
  </authors>
  <commentList>
    <comment ref="Y7" authorId="0">
      <text>
        <r>
          <rPr>
            <b/>
            <sz val="9"/>
            <rFont val="Tahoma"/>
            <family val="0"/>
          </rPr>
          <t>Lenovo: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ค่าเช่าพืนที่ในงานเกษตรแฟร์ครั้งที่ 16 ระหว่างวันที่ 30 กันยายน 2565 ถึง 9 ตุลาคม 2565</t>
        </r>
      </text>
    </comment>
    <comment ref="Y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บันทึกบัญชีรายได้ค่าบำรุงการใช้สถานที่ (ภายใต้รายได้อื่น-ค่าเช่าร้าน)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Y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บันทึกบัญชีรายได้ค่าบำรุงการใช้สถานที่ (ภายใต้รายได้อื่น-ค่าเช่าร้าน)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X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บันทึกบัญชีรายได้ค่าบำรุงการใช้สถานที่ (ภายใต้รายได้อื่น-ค่าเช่าร้าน)</t>
        </r>
      </text>
    </comment>
    <comment ref="N4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หักรายได้ค่าบำรุงการใช้สถานที่จากการจัดงานเกษตรแฟร์ เนื่องจากเก็บรายได้ในคณะเทคโนฯในบันทึกบัญชีรายได้ค่าบำรุงการใช้สถานที่ (ภายใต้รายได้อื่น-ค่าเช่าร้าน)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Y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บันทึกบัญชีรายได้ค่าบำรุงการใช้สถานที่ (ภายใต้รายได้อื่น-ค่าเช่าร้าน)</t>
        </r>
      </text>
    </comment>
    <comment ref="N4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หักรายได้ค่าบำรุงการใช้สถานที่จากการจัดงานเกษตรแฟร์ เนื่องจากเก็บรายได้ในคณะเทคโนฯในบันทึกบัญชีรายได้ค่าบำรุงการใช้สถานที่ (ภายใต้รายได้อื่น-ค่าเช่าร้าน)</t>
        </r>
      </text>
    </comment>
  </commentList>
</comments>
</file>

<file path=xl/comments6.xml><?xml version="1.0" encoding="utf-8"?>
<comments xmlns="http://schemas.openxmlformats.org/spreadsheetml/2006/main">
  <authors>
    <author>TSU</author>
  </authors>
  <commentList>
    <comment ref="I18" authorId="0">
      <text>
        <r>
          <rPr>
            <b/>
            <sz val="9"/>
            <rFont val="Tahoma"/>
            <family val="2"/>
          </rPr>
          <t>TSU: เนื่องจากการบันทึกบัญชีรายได้บริการวิชาการอยู่ในรายได้อื่นๆ ในการเก็บข้อมูลในภาพรวมจึงต้องหักรายได้บริการวิชาการออกจากรายได้อื่นๆ</t>
        </r>
        <r>
          <rPr>
            <sz val="9"/>
            <rFont val="Tahoma"/>
            <family val="2"/>
          </rPr>
          <t xml:space="preserve">
รายได้อื่นๆรวมบริการวิชาการ  6,289,635.37
หักบริการวิชาการ  4,654,300.00 
= รายได้อื่นๆ 1,635,335.37</t>
        </r>
      </text>
    </comment>
    <comment ref="I43" authorId="0">
      <text>
        <r>
          <rPr>
            <b/>
            <sz val="9"/>
            <rFont val="Tahoma"/>
            <family val="2"/>
          </rPr>
          <t xml:space="preserve">TSU:
รายได้อื่นๆหลังหักรายได้บริการวิชาการและทุนวิจัยภายนอก
</t>
        </r>
      </text>
    </comment>
  </commentList>
</comments>
</file>

<file path=xl/comments7.xml><?xml version="1.0" encoding="utf-8"?>
<comments xmlns="http://schemas.openxmlformats.org/spreadsheetml/2006/main">
  <authors>
    <author>TSU</author>
  </authors>
  <commentList>
    <comment ref="I17" authorId="0">
      <text>
        <r>
          <rPr>
            <b/>
            <sz val="9"/>
            <rFont val="Tahoma"/>
            <family val="2"/>
          </rPr>
          <t>TSU: เนื่องจากการบันทึกบัญชีรายได้บริการวิชาการอยู่ในรายได้อื่นๆ ในการเก็บข้อมูลในภาพรวมจึงต้องหักรายได้บริการวิชาการออกจากรายได้อื่นๆ</t>
        </r>
        <r>
          <rPr>
            <sz val="9"/>
            <rFont val="Tahoma"/>
            <family val="2"/>
          </rPr>
          <t xml:space="preserve">
รายได้อื่นๆรวมบริการวิชาการ  5,183,400.21
หักบริการวิชาการ  5,071,035.00 
= รายได้อื่นๆ 112,365.21
</t>
        </r>
      </text>
    </comment>
    <comment ref="V31" authorId="0">
      <text>
        <r>
          <rPr>
            <sz val="9"/>
            <rFont val="Tahoma"/>
            <family val="2"/>
          </rPr>
          <t>อยู่ในรายได้บริการวิชาการ  612,200</t>
        </r>
      </text>
    </comment>
    <comment ref="T41" authorId="0">
      <text>
        <r>
          <rPr>
            <b/>
            <sz val="9"/>
            <rFont val="Tahoma"/>
            <family val="2"/>
          </rPr>
          <t>TSU:</t>
        </r>
        <r>
          <rPr>
            <sz val="9"/>
            <rFont val="Tahoma"/>
            <family val="2"/>
          </rPr>
          <t xml:space="preserve">
แยกโครงการเงินทุนหมุนเวียนศูนย์หนังสือออก
รายงานแยกเฉพาะเป็นรายได้ศูนย์หนังสือ
</t>
        </r>
      </text>
    </comment>
    <comment ref="I42" authorId="0">
      <text>
        <r>
          <rPr>
            <b/>
            <sz val="9"/>
            <rFont val="Tahoma"/>
            <family val="2"/>
          </rPr>
          <t xml:space="preserve">TSU:
รายได้อื่นๆหลังหักรายได้บริการวิชาการ
รายได้อื่นๆรวมบริการวิชาการ  45,425,666.29
หักบริการวิชาการ  13,013,405.12 
= รายได้อื่นๆ 32,412,261.17
</t>
        </r>
      </text>
    </comment>
  </commentList>
</comments>
</file>

<file path=xl/comments8.xml><?xml version="1.0" encoding="utf-8"?>
<comments xmlns="http://schemas.openxmlformats.org/spreadsheetml/2006/main">
  <authors>
    <author>TSU</author>
    <author>Windows User</author>
  </authors>
  <commentList>
    <comment ref="I17" authorId="0">
      <text>
        <r>
          <rPr>
            <b/>
            <sz val="9"/>
            <rFont val="Tahoma"/>
            <family val="2"/>
          </rPr>
          <t>TSU: เนื่องจากการบันทึกบัญชีรายได้บริการวิชาการอยู่ในรายได้อื่นๆ ในการเก็บข้อมูลในภาพรวมจึงต้องหักรายได้บริการวิชาการออกจากรายได้อื่นๆ</t>
        </r>
        <r>
          <rPr>
            <sz val="9"/>
            <rFont val="Tahoma"/>
            <family val="2"/>
          </rPr>
          <t xml:space="preserve">
รายได้อื่นๆรวมบริการวิชาการ  5,950,198.01
หักบริการวิชาการ  5,892,435 
= รายได้อื่นๆ 57,763.01</t>
        </r>
      </text>
    </comment>
    <comment ref="V31" authorId="0">
      <text>
        <r>
          <rPr>
            <b/>
            <sz val="9"/>
            <rFont val="Tahoma"/>
            <family val="2"/>
          </rPr>
          <t>TSU:</t>
        </r>
        <r>
          <rPr>
            <sz val="9"/>
            <rFont val="Tahoma"/>
            <family val="2"/>
          </rPr>
          <t xml:space="preserve">
หักรายได้บริการวิชาการออก
รายงานแยกในบริการวิชาการ</t>
        </r>
      </text>
    </comment>
    <comment ref="X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ศูนย์บ่มเพาะวิสาหกิจ</t>
        </r>
      </text>
    </comment>
    <comment ref="I42" authorId="0">
      <text>
        <r>
          <rPr>
            <b/>
            <sz val="9"/>
            <rFont val="Tahoma"/>
            <family val="2"/>
          </rPr>
          <t xml:space="preserve">TSU:
รายได้อื่นๆหลังหักรายได้บริการวิชาการ
</t>
        </r>
      </text>
    </comment>
  </commentList>
</comments>
</file>

<file path=xl/sharedStrings.xml><?xml version="1.0" encoding="utf-8"?>
<sst xmlns="http://schemas.openxmlformats.org/spreadsheetml/2006/main" count="612" uniqueCount="132">
  <si>
    <t>คณะศึกษาศาสตร์</t>
  </si>
  <si>
    <t>คณะนิติศาสตร์</t>
  </si>
  <si>
    <t>คณะศิลปกรรมศาสตร์</t>
  </si>
  <si>
    <t>คณะมนุษยศาสตร์และสังคมศาสตร์</t>
  </si>
  <si>
    <t>คณะเศรษฐศาสตร์และบริหารธุรกิจ</t>
  </si>
  <si>
    <t>คณะวิทยาการสุขภาพและการกีฬา</t>
  </si>
  <si>
    <t>คณะเทคโนโลยีและการพัฒนาชุมชน</t>
  </si>
  <si>
    <t>คณะวิทยาศาสตร์</t>
  </si>
  <si>
    <t>วิทยาลัยการจัดการเพื่อการพัฒนา</t>
  </si>
  <si>
    <t>บัณฑิตวิทยาลัย</t>
  </si>
  <si>
    <t>สำนักหอสมุด (สงขลา)</t>
  </si>
  <si>
    <t>สำนักคอมพิวเตอร์ (สงขลา)</t>
  </si>
  <si>
    <t>สำนักหอสมุด (พัทลุง)</t>
  </si>
  <si>
    <t>สำนักคอมพิวเตอร์ (พัทลุง)</t>
  </si>
  <si>
    <t>สถาบันทักษิณคดีศึกษา</t>
  </si>
  <si>
    <t>สถาบันวิจัยและพัฒนา</t>
  </si>
  <si>
    <t>วิทยาลัยภูมิปัญญาชุมชน</t>
  </si>
  <si>
    <t>สถาบันปฏิบัติการชุมชนเพื่อการศึกษาแบบบูรณาการ</t>
  </si>
  <si>
    <t>ฝ่ายวิชาการ</t>
  </si>
  <si>
    <t>ฝ่ายประกันคุณภาพการศึกษา</t>
  </si>
  <si>
    <t>ฝ่ายบริหารกลางและทรัพยากรบุคคล</t>
  </si>
  <si>
    <t>ฝ่ายการคลังและทรัพย์สิน</t>
  </si>
  <si>
    <t>ฝ่ายกิจการนิสิตวิทยาเขตพัทลุง</t>
  </si>
  <si>
    <t>ฝ่ายบริหารวิทยาเขตสงขลา</t>
  </si>
  <si>
    <t xml:space="preserve">ฝ่ายบริหารวิทยาเขตพัทลุง </t>
  </si>
  <si>
    <t>ศูนย์สร้างสรรค์งานออกแบบ (CLC)</t>
  </si>
  <si>
    <t>ศูนย์ภาษามหาวิทยาลัยทักษิณ</t>
  </si>
  <si>
    <t>สถาบันพัฒนาทุนมนุษย์</t>
  </si>
  <si>
    <t>สำนักบ่มเพาะวิชาการเพื่อวิสาหกิจในชุมชน</t>
  </si>
  <si>
    <t>รายได้โครงการบริการวิชาการ</t>
  </si>
  <si>
    <t>รายได้จากศูนย์หนังสือ</t>
  </si>
  <si>
    <t>เงินอุดหนุนทุนวิจัยแหล่งภายนอก</t>
  </si>
  <si>
    <t>โครงการเงินทุนหมุนเวียน</t>
  </si>
  <si>
    <t>กองทุนพัฒนาส่วนงาน</t>
  </si>
  <si>
    <t>หน่วยงานลักษณะพิเศษ</t>
  </si>
  <si>
    <t>คณะวิศวกรรมศาสตร์</t>
  </si>
  <si>
    <t>คณะพยาบาลศาสตร์</t>
  </si>
  <si>
    <t>วิทยาลัยนานาชาติ</t>
  </si>
  <si>
    <t>ที่</t>
  </si>
  <si>
    <t>สำนักงานมหาวิทยาลัย(สงขลา+พัทลุง)</t>
  </si>
  <si>
    <t>**</t>
  </si>
  <si>
    <t>เงินบริจาค</t>
  </si>
  <si>
    <t xml:space="preserve"> มหาวิทยาลัยทักษิณ</t>
  </si>
  <si>
    <t>ศูนย์หนังสือมหาวิทยาลัยทักษิณ</t>
  </si>
  <si>
    <t>ประจำปีการศึกษา 2560 (1 สิงหาคม 2560 - 31 กรกฎาคม 2561)</t>
  </si>
  <si>
    <t>ส่วนงาน</t>
  </si>
  <si>
    <t>เงินรับฝาก</t>
  </si>
  <si>
    <t>*</t>
  </si>
  <si>
    <t>ประจำปีการศึกษา 2559 (1 สิงหาคม 2559 - 31 กรกฎาคม 2560)</t>
  </si>
  <si>
    <t>ฝ่ายกิจการนิสิตวิทยาเขตสงขลา</t>
  </si>
  <si>
    <t>ฝ่ายแผนงาน</t>
  </si>
  <si>
    <t>เพิ่มขึ้น/ลดลง</t>
  </si>
  <si>
    <t>ร้อยละ</t>
  </si>
  <si>
    <t>หมายเหตุ :</t>
  </si>
  <si>
    <t>คณะอุตสาหกรรมเกษตรและชีวภาพ</t>
  </si>
  <si>
    <t>ประจำปีการศึกษา 2561 (1 สิงหาคม 2561 - 31 พฤษภาคม 2562)</t>
  </si>
  <si>
    <t>รายได้อื่น</t>
  </si>
  <si>
    <t>รายได้ค่าธรรมเนียมการศึกษา</t>
  </si>
  <si>
    <t>รวมรายได้ทั้งสิ้น</t>
  </si>
  <si>
    <t>ปีการศึกษา 2559</t>
  </si>
  <si>
    <t>ปีการศึกษา 2560</t>
  </si>
  <si>
    <t>ปีการศึกษา 2561</t>
  </si>
  <si>
    <t>รายได้จากส่วนงาน</t>
  </si>
  <si>
    <t xml:space="preserve">สำนักส่งเสริมการบริการวิชาการและภูมิปัญญาชุมชน </t>
  </si>
  <si>
    <t>ประจำปีการศึกษา 2562 (1 มิถุนายน 2562 - 31 พฤษภาคม 2563)</t>
  </si>
  <si>
    <t>รายได้อื่นๆ-จัดงานเกษตรแฟร์</t>
  </si>
  <si>
    <t xml:space="preserve">ยุบหน่วยงานจัดตั้งใหม่ในชื่อสน.ส่งเสริมฯ </t>
  </si>
  <si>
    <t>ปีการศึกษา 2562</t>
  </si>
  <si>
    <t>งานวิเทศสัมพันธ์</t>
  </si>
  <si>
    <t>ประจำปีการศึกษา 2563 (ข้อมูล 12 เดือน ตั้งแต่ 1 มิถุนายน 2563 - 31 พฤษภาคม 2564)</t>
  </si>
  <si>
    <t>ปีการศึกษา 2563</t>
  </si>
  <si>
    <t xml:space="preserve">   รวมรายได้ทั้งค่าธรรมเนียมการศึกษาและ  รายได้อื่น</t>
  </si>
  <si>
    <t>ปกศ 1/59</t>
  </si>
  <si>
    <t>ปกศ 2/59</t>
  </si>
  <si>
    <t>ปกศ 3/59</t>
  </si>
  <si>
    <t>ค่าธรรมเนียมต่างๆ</t>
  </si>
  <si>
    <t>ค่าขึ้นทะเบียน</t>
  </si>
  <si>
    <t>รายได้อื่นๆ</t>
  </si>
  <si>
    <t>รายได้ดอกเบี้ย</t>
  </si>
  <si>
    <t>ค่าหอพักสงขลา</t>
  </si>
  <si>
    <t>ค่าหอพักพัทลุง</t>
  </si>
  <si>
    <t>ค่าเช่าร้านค้า</t>
  </si>
  <si>
    <t>รายได้จากสถาบันทักษิณคดีศึกษา</t>
  </si>
  <si>
    <t>รายได้จากวิทยาลัยภูมิปัญญาชุมชน</t>
  </si>
  <si>
    <t>รวมรายได้อื่น</t>
  </si>
  <si>
    <t>หมายเหตุ : หักรายได้โครงการบริการวิชาการออกจากรายได้อื่นๆแล้ว เนื่องจากชื่อบัญชีรายได้บริการวิชาการอยู่ภายใต้รายได้อื่นๆ ดังนั้นเพื่อมิให้ข้อมูลซ้ำซ้อนกันจึงต้องหักออก ยกเว้นสำนักบ่มเพาะฯเนื่องจากสำนักบ่มเพาะข้อมูลไม่อยู่ในรายได้อื่น</t>
  </si>
  <si>
    <t>ยอดรายได้ค่าธ.ศึกษา ระบบ 3 มิติ</t>
  </si>
  <si>
    <t>ปี กศ. 1/60</t>
  </si>
  <si>
    <t>ปี กศ. 2/60</t>
  </si>
  <si>
    <t>ปี กศ. 3/60</t>
  </si>
  <si>
    <t>รวม</t>
  </si>
  <si>
    <t>ปี กศ. 1/63</t>
  </si>
  <si>
    <t>ปี กศ. 2/63</t>
  </si>
  <si>
    <t>ปี กศ. 3/63</t>
  </si>
  <si>
    <t>รายได้จากวิทยาลัยภูมิปัญญาชุมชน (สสช.)</t>
  </si>
  <si>
    <t>ประจำปีการศึกษา 2562  (1 มิถุนายน 2562 - 31 พฤษภาคม 2563)</t>
  </si>
  <si>
    <t>ปี กศ. 1/62</t>
  </si>
  <si>
    <t>ปี กศ. 2/62</t>
  </si>
  <si>
    <t>ปี กศ. 3/62</t>
  </si>
  <si>
    <t>ปิด</t>
  </si>
  <si>
    <t>ปี กศ. 1/61</t>
  </si>
  <si>
    <t>ปี กศ. 2/61</t>
  </si>
  <si>
    <t>ปี กศ. 3/61</t>
  </si>
  <si>
    <t xml:space="preserve">ประจำปีการศึกษา 2561 (1 สิงหาคม 2561 - 31 พฤษภาคม 2562)  </t>
  </si>
  <si>
    <t>หักรายได้โครงการบริการวิชาการและทุนวิจัยภายนอกออกจากรายได้อื่นๆแล้ว เนื่องจากชื่อบัญชีรายได้บริการวิชาการอยู่ภายใต้รายได้อื่นๆ ดังนั้นเพื่อมิให้ข้อมูลซ้ำซ้อนกันจึงต้องหักออก ยกเว้นสำนักบ่มเพาะฯเนื่องจากสำนักบ่มเพาะข้อมูลไม่อยู่ในรายได้อื่น</t>
  </si>
  <si>
    <t>ตารางรายได้ค่าธรรมเนียมการศึกษาและรายได้อื่น (แยกตามส่วนงาน)</t>
  </si>
  <si>
    <t>ตารางเปรียบเทียบรายได้ค่าธรรมเนียมการศึกษาและรายได้อื่น (แยกตามส่วนงาน)  เปรียบเทียบกับปีที่ผ่านมา</t>
  </si>
  <si>
    <t>รายงานรายได้ทั้งค่าธรรมเนียมการศึกษาและรายได้อื่น (แยกตามส่วนงาน)</t>
  </si>
  <si>
    <t>ปี กศ. 1/64</t>
  </si>
  <si>
    <t>ปี กศ. 2/64</t>
  </si>
  <si>
    <t>ปี กศ. 3/64</t>
  </si>
  <si>
    <t>โรงเรียนสาธิตมหาวิทยาลัยทักษิณ</t>
  </si>
  <si>
    <t>ประจำปีการศึกษา 2564 (1 มิถุนายน 2564 - 31 พฤษภาคม 2565)</t>
  </si>
  <si>
    <t>รายได้ค่าธ.เหมาจ่าย 3 มิติ</t>
  </si>
  <si>
    <t>ประจำปีการศึกษา 2564 (ข้อมูล 12 เดือน ตั้งแต่ 1 มิถุนายน 2564 - 31 พฤษภาคม 2565)</t>
  </si>
  <si>
    <t>ปีการศึกษา 2564</t>
  </si>
  <si>
    <t>รายได้ค่าธ.เหมาจ่ายจาการางแยกส่วนงาน</t>
  </si>
  <si>
    <t>ค่าหอพักรร.สาธิต</t>
  </si>
  <si>
    <t xml:space="preserve">**รายได้จากการบริการวิชาการ รวมงบจ้างงานโควิด(สสช.) ปีกศ.2564 ณ 31พ.ค.65 จำนวนเงิน 158,667,500.00 บาท (งวดสุดท้าย ณ เดือนธันวาคม 2564)   </t>
  </si>
  <si>
    <t>หมายเหตุ : ปรับเพิ่ม รร.สาธิต</t>
  </si>
  <si>
    <t>ประจำปีการศึกษา 2563 (1 มิถุนายน 2563 - 31 พฤษภาคม 2564)  ปรับเพิ่ม รร.สาธิต</t>
  </si>
  <si>
    <t>ประจำปีการศึกษา 2565 (1 มิถุนายน 2565 - 31 พฤษภาคม 2566)</t>
  </si>
  <si>
    <t>ปี กศ. 1/65</t>
  </si>
  <si>
    <t>ปี กศ. 2/65</t>
  </si>
  <si>
    <t>ปี กศ. 3/65</t>
  </si>
  <si>
    <t>ประจำปีการศึกษา 2562 - 2565</t>
  </si>
  <si>
    <t>ประจำปีการศึกษา 2565 (ข้อมูล 12 เดือน ตั้งแต่ 1 มิถุนายน 2565 - 31 พฤษภาคม 2566)</t>
  </si>
  <si>
    <t>ฝ่ายสื่อสารองค์กร</t>
  </si>
  <si>
    <t>ค่าหอพักนิสิต</t>
  </si>
  <si>
    <t>รายได้ค่าธ.เหมาจ่ายจากตารางแยกส่วนงาน</t>
  </si>
  <si>
    <t xml:space="preserve">ปีการศึกษา 2565 </t>
  </si>
  <si>
    <t>รายได้อื่น(ค่าเช่าร้าน)-จัดงานเกษตรแฟร์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</si>
</sst>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sz val="13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color indexed="10"/>
      <name val="TH SarabunPSK"/>
      <family val="2"/>
    </font>
    <font>
      <b/>
      <sz val="14"/>
      <color indexed="10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3"/>
      <color indexed="8"/>
      <name val="TH SarabunPSK"/>
      <family val="2"/>
    </font>
    <font>
      <sz val="12"/>
      <color indexed="30"/>
      <name val="TH SarabunPSK"/>
      <family val="2"/>
    </font>
    <font>
      <sz val="14"/>
      <color indexed="30"/>
      <name val="TH SarabunPSK"/>
      <family val="2"/>
    </font>
    <font>
      <b/>
      <sz val="14"/>
      <color indexed="3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rgb="FFFF0000"/>
      <name val="TH SarabunPSK"/>
      <family val="2"/>
    </font>
    <font>
      <b/>
      <sz val="14"/>
      <color rgb="FFFF0000"/>
      <name val="Angsana New"/>
      <family val="1"/>
    </font>
    <font>
      <sz val="14"/>
      <color rgb="FFFF0000"/>
      <name val="Angsana New"/>
      <family val="1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3"/>
      <color theme="1"/>
      <name val="TH SarabunPSK"/>
      <family val="2"/>
    </font>
    <font>
      <sz val="12"/>
      <color rgb="FF0070C0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43" fontId="5" fillId="0" borderId="10" xfId="0" applyNumberFormat="1" applyFont="1" applyFill="1" applyBorder="1" applyAlignment="1">
      <alignment vertical="top"/>
    </xf>
    <xf numFmtId="43" fontId="6" fillId="0" borderId="10" xfId="0" applyNumberFormat="1" applyFont="1" applyBorder="1" applyAlignment="1">
      <alignment/>
    </xf>
    <xf numFmtId="43" fontId="5" fillId="0" borderId="10" xfId="42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top"/>
    </xf>
    <xf numFmtId="43" fontId="6" fillId="0" borderId="12" xfId="0" applyNumberFormat="1" applyFont="1" applyFill="1" applyBorder="1" applyAlignment="1" applyProtection="1">
      <alignment horizontal="center"/>
      <protection/>
    </xf>
    <xf numFmtId="43" fontId="6" fillId="0" borderId="0" xfId="42" applyFont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3" fontId="60" fillId="0" borderId="10" xfId="42" applyFont="1" applyBorder="1" applyAlignment="1">
      <alignment/>
    </xf>
    <xf numFmtId="43" fontId="61" fillId="33" borderId="10" xfId="42" applyFont="1" applyFill="1" applyBorder="1" applyAlignment="1">
      <alignment/>
    </xf>
    <xf numFmtId="43" fontId="5" fillId="0" borderId="10" xfId="42" applyFont="1" applyFill="1" applyBorder="1" applyAlignment="1">
      <alignment vertical="top"/>
    </xf>
    <xf numFmtId="43" fontId="5" fillId="0" borderId="0" xfId="42" applyFont="1" applyAlignment="1">
      <alignment/>
    </xf>
    <xf numFmtId="43" fontId="6" fillId="0" borderId="14" xfId="42" applyFont="1" applyBorder="1" applyAlignment="1">
      <alignment/>
    </xf>
    <xf numFmtId="43" fontId="5" fillId="0" borderId="10" xfId="42" applyFont="1" applyBorder="1" applyAlignment="1">
      <alignment/>
    </xf>
    <xf numFmtId="43" fontId="5" fillId="0" borderId="10" xfId="42" applyFont="1" applyFill="1" applyBorder="1" applyAlignment="1">
      <alignment/>
    </xf>
    <xf numFmtId="43" fontId="6" fillId="0" borderId="10" xfId="42" applyFont="1" applyFill="1" applyBorder="1" applyAlignment="1">
      <alignment/>
    </xf>
    <xf numFmtId="9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0" xfId="0" applyFont="1" applyFill="1" applyAlignment="1">
      <alignment horizontal="left"/>
    </xf>
    <xf numFmtId="43" fontId="6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0" xfId="0" applyFont="1" applyAlignment="1">
      <alignment/>
    </xf>
    <xf numFmtId="0" fontId="6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63" fillId="15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63" fillId="15" borderId="10" xfId="0" applyFont="1" applyFill="1" applyBorder="1" applyAlignment="1">
      <alignment horizontal="center" vertical="center"/>
    </xf>
    <xf numFmtId="2" fontId="63" fillId="15" borderId="10" xfId="0" applyNumberFormat="1" applyFont="1" applyFill="1" applyBorder="1" applyAlignment="1">
      <alignment horizontal="center" vertical="center"/>
    </xf>
    <xf numFmtId="0" fontId="63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63" fillId="12" borderId="13" xfId="0" applyFont="1" applyFill="1" applyBorder="1" applyAlignment="1">
      <alignment horizontal="center" vertical="center"/>
    </xf>
    <xf numFmtId="2" fontId="63" fillId="12" borderId="13" xfId="0" applyNumberFormat="1" applyFont="1" applyFill="1" applyBorder="1" applyAlignment="1">
      <alignment horizontal="center" vertical="center"/>
    </xf>
    <xf numFmtId="0" fontId="63" fillId="11" borderId="13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63" fillId="11" borderId="13" xfId="0" applyFont="1" applyFill="1" applyBorder="1" applyAlignment="1">
      <alignment horizontal="center" vertical="center"/>
    </xf>
    <xf numFmtId="2" fontId="63" fillId="11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 applyProtection="1">
      <alignment horizontal="left"/>
      <protection/>
    </xf>
    <xf numFmtId="43" fontId="9" fillId="0" borderId="10" xfId="0" applyNumberFormat="1" applyFont="1" applyFill="1" applyBorder="1" applyAlignment="1">
      <alignment/>
    </xf>
    <xf numFmtId="43" fontId="9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43" fontId="9" fillId="0" borderId="10" xfId="42" applyFont="1" applyBorder="1" applyAlignment="1">
      <alignment/>
    </xf>
    <xf numFmtId="43" fontId="8" fillId="0" borderId="10" xfId="42" applyFont="1" applyBorder="1" applyAlignment="1">
      <alignment/>
    </xf>
    <xf numFmtId="43" fontId="9" fillId="0" borderId="10" xfId="0" applyNumberFormat="1" applyFont="1" applyFill="1" applyBorder="1" applyAlignment="1">
      <alignment horizontal="right"/>
    </xf>
    <xf numFmtId="43" fontId="9" fillId="0" borderId="10" xfId="42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43" fontId="8" fillId="0" borderId="10" xfId="0" applyNumberFormat="1" applyFont="1" applyFill="1" applyBorder="1" applyAlignment="1">
      <alignment/>
    </xf>
    <xf numFmtId="43" fontId="8" fillId="0" borderId="10" xfId="42" applyFont="1" applyFill="1" applyBorder="1" applyAlignment="1">
      <alignment/>
    </xf>
    <xf numFmtId="0" fontId="9" fillId="0" borderId="11" xfId="0" applyFont="1" applyFill="1" applyBorder="1" applyAlignment="1">
      <alignment vertical="top"/>
    </xf>
    <xf numFmtId="0" fontId="9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43" fontId="8" fillId="34" borderId="12" xfId="0" applyNumberFormat="1" applyFont="1" applyFill="1" applyBorder="1" applyAlignment="1" applyProtection="1">
      <alignment horizontal="center"/>
      <protection/>
    </xf>
    <xf numFmtId="43" fontId="8" fillId="35" borderId="12" xfId="0" applyNumberFormat="1" applyFont="1" applyFill="1" applyBorder="1" applyAlignment="1" applyProtection="1">
      <alignment horizontal="center"/>
      <protection/>
    </xf>
    <xf numFmtId="43" fontId="8" fillId="35" borderId="14" xfId="0" applyNumberFormat="1" applyFont="1" applyFill="1" applyBorder="1" applyAlignment="1">
      <alignment/>
    </xf>
    <xf numFmtId="2" fontId="8" fillId="35" borderId="14" xfId="0" applyNumberFormat="1" applyFont="1" applyFill="1" applyBorder="1" applyAlignment="1">
      <alignment/>
    </xf>
    <xf numFmtId="43" fontId="8" fillId="15" borderId="12" xfId="0" applyNumberFormat="1" applyFont="1" applyFill="1" applyBorder="1" applyAlignment="1" applyProtection="1">
      <alignment horizontal="center"/>
      <protection/>
    </xf>
    <xf numFmtId="43" fontId="8" fillId="15" borderId="14" xfId="0" applyNumberFormat="1" applyFont="1" applyFill="1" applyBorder="1" applyAlignment="1">
      <alignment/>
    </xf>
    <xf numFmtId="2" fontId="8" fillId="15" borderId="14" xfId="0" applyNumberFormat="1" applyFont="1" applyFill="1" applyBorder="1" applyAlignment="1">
      <alignment/>
    </xf>
    <xf numFmtId="43" fontId="8" fillId="12" borderId="14" xfId="42" applyFont="1" applyFill="1" applyBorder="1" applyAlignment="1">
      <alignment/>
    </xf>
    <xf numFmtId="2" fontId="8" fillId="12" borderId="14" xfId="0" applyNumberFormat="1" applyFont="1" applyFill="1" applyBorder="1" applyAlignment="1">
      <alignment/>
    </xf>
    <xf numFmtId="43" fontId="8" fillId="11" borderId="14" xfId="42" applyFont="1" applyFill="1" applyBorder="1" applyAlignment="1">
      <alignment/>
    </xf>
    <xf numFmtId="2" fontId="8" fillId="11" borderId="14" xfId="0" applyNumberFormat="1" applyFont="1" applyFill="1" applyBorder="1" applyAlignment="1">
      <alignment/>
    </xf>
    <xf numFmtId="43" fontId="64" fillId="34" borderId="12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0" fillId="0" borderId="0" xfId="42" applyFont="1" applyAlignment="1">
      <alignment/>
    </xf>
    <xf numFmtId="43" fontId="11" fillId="0" borderId="0" xfId="42" applyFont="1" applyAlignment="1">
      <alignment/>
    </xf>
    <xf numFmtId="0" fontId="11" fillId="0" borderId="15" xfId="0" applyFont="1" applyBorder="1" applyAlignment="1">
      <alignment horizontal="center" vertical="center"/>
    </xf>
    <xf numFmtId="43" fontId="11" fillId="0" borderId="15" xfId="42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 applyProtection="1">
      <alignment horizontal="left"/>
      <protection/>
    </xf>
    <xf numFmtId="43" fontId="10" fillId="0" borderId="10" xfId="42" applyFont="1" applyFill="1" applyBorder="1" applyAlignment="1" applyProtection="1">
      <alignment horizontal="left"/>
      <protection/>
    </xf>
    <xf numFmtId="43" fontId="11" fillId="33" borderId="10" xfId="42" applyFont="1" applyFill="1" applyBorder="1" applyAlignment="1" applyProtection="1">
      <alignment horizontal="left"/>
      <protection/>
    </xf>
    <xf numFmtId="43" fontId="10" fillId="0" borderId="10" xfId="0" applyNumberFormat="1" applyFont="1" applyFill="1" applyBorder="1" applyAlignment="1" applyProtection="1">
      <alignment horizontal="left"/>
      <protection/>
    </xf>
    <xf numFmtId="43" fontId="10" fillId="0" borderId="10" xfId="0" applyNumberFormat="1" applyFont="1" applyFill="1" applyBorder="1" applyAlignment="1">
      <alignment vertical="top"/>
    </xf>
    <xf numFmtId="43" fontId="10" fillId="0" borderId="10" xfId="42" applyFont="1" applyFill="1" applyBorder="1" applyAlignment="1">
      <alignment/>
    </xf>
    <xf numFmtId="43" fontId="11" fillId="0" borderId="10" xfId="0" applyNumberFormat="1" applyFont="1" applyFill="1" applyBorder="1" applyAlignment="1">
      <alignment vertical="top"/>
    </xf>
    <xf numFmtId="43" fontId="11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vertical="top"/>
    </xf>
    <xf numFmtId="43" fontId="10" fillId="0" borderId="10" xfId="42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43" fontId="11" fillId="0" borderId="10" xfId="42" applyFont="1" applyFill="1" applyBorder="1" applyAlignment="1" applyProtection="1">
      <alignment horizontal="left"/>
      <protection/>
    </xf>
    <xf numFmtId="0" fontId="10" fillId="0" borderId="0" xfId="0" applyFont="1" applyFill="1" applyAlignment="1">
      <alignment/>
    </xf>
    <xf numFmtId="43" fontId="11" fillId="0" borderId="10" xfId="42" applyFont="1" applyFill="1" applyBorder="1" applyAlignment="1">
      <alignment vertical="top"/>
    </xf>
    <xf numFmtId="43" fontId="10" fillId="0" borderId="10" xfId="42" applyNumberFormat="1" applyFont="1" applyFill="1" applyBorder="1" applyAlignment="1" applyProtection="1">
      <alignment horizontal="left"/>
      <protection/>
    </xf>
    <xf numFmtId="43" fontId="10" fillId="0" borderId="13" xfId="42" applyFont="1" applyFill="1" applyBorder="1" applyAlignment="1" applyProtection="1">
      <alignment horizontal="left"/>
      <protection/>
    </xf>
    <xf numFmtId="0" fontId="10" fillId="0" borderId="11" xfId="0" applyFont="1" applyFill="1" applyBorder="1" applyAlignment="1">
      <alignment vertical="top"/>
    </xf>
    <xf numFmtId="43" fontId="12" fillId="0" borderId="11" xfId="42" applyFont="1" applyFill="1" applyBorder="1" applyAlignment="1">
      <alignment vertical="center"/>
    </xf>
    <xf numFmtId="43" fontId="12" fillId="0" borderId="17" xfId="42" applyFont="1" applyFill="1" applyBorder="1" applyAlignment="1">
      <alignment vertical="center"/>
    </xf>
    <xf numFmtId="43" fontId="12" fillId="0" borderId="18" xfId="42" applyFont="1" applyFill="1" applyBorder="1" applyAlignment="1">
      <alignment vertical="center"/>
    </xf>
    <xf numFmtId="43" fontId="11" fillId="0" borderId="14" xfId="42" applyFont="1" applyBorder="1" applyAlignment="1">
      <alignment/>
    </xf>
    <xf numFmtId="43" fontId="11" fillId="0" borderId="12" xfId="0" applyNumberFormat="1" applyFont="1" applyFill="1" applyBorder="1" applyAlignment="1" applyProtection="1">
      <alignment horizontal="center"/>
      <protection/>
    </xf>
    <xf numFmtId="43" fontId="11" fillId="0" borderId="14" xfId="0" applyNumberFormat="1" applyFont="1" applyFill="1" applyBorder="1" applyAlignment="1">
      <alignment/>
    </xf>
    <xf numFmtId="43" fontId="12" fillId="33" borderId="0" xfId="42" applyFont="1" applyFill="1" applyAlignment="1">
      <alignment/>
    </xf>
    <xf numFmtId="43" fontId="10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11" fillId="36" borderId="15" xfId="0" applyFont="1" applyFill="1" applyBorder="1" applyAlignment="1">
      <alignment horizontal="center" vertical="center" wrapText="1"/>
    </xf>
    <xf numFmtId="43" fontId="10" fillId="0" borderId="17" xfId="42" applyFont="1" applyFill="1" applyBorder="1" applyAlignment="1">
      <alignment vertical="center"/>
    </xf>
    <xf numFmtId="43" fontId="1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3" fontId="61" fillId="7" borderId="10" xfId="42" applyFont="1" applyFill="1" applyBorder="1" applyAlignment="1">
      <alignment/>
    </xf>
    <xf numFmtId="43" fontId="6" fillId="6" borderId="10" xfId="0" applyNumberFormat="1" applyFont="1" applyFill="1" applyBorder="1" applyAlignment="1">
      <alignment vertical="top"/>
    </xf>
    <xf numFmtId="43" fontId="6" fillId="36" borderId="10" xfId="0" applyNumberFormat="1" applyFont="1" applyFill="1" applyBorder="1" applyAlignment="1">
      <alignment/>
    </xf>
    <xf numFmtId="43" fontId="6" fillId="7" borderId="10" xfId="42" applyFont="1" applyFill="1" applyBorder="1" applyAlignment="1">
      <alignment/>
    </xf>
    <xf numFmtId="43" fontId="6" fillId="7" borderId="10" xfId="42" applyFont="1" applyFill="1" applyBorder="1" applyAlignment="1" applyProtection="1">
      <alignment horizontal="left"/>
      <protection/>
    </xf>
    <xf numFmtId="43" fontId="7" fillId="0" borderId="11" xfId="42" applyFont="1" applyFill="1" applyBorder="1" applyAlignment="1">
      <alignment vertical="center"/>
    </xf>
    <xf numFmtId="43" fontId="5" fillId="0" borderId="17" xfId="42" applyFont="1" applyFill="1" applyBorder="1" applyAlignment="1">
      <alignment vertical="center"/>
    </xf>
    <xf numFmtId="43" fontId="7" fillId="0" borderId="18" xfId="42" applyFont="1" applyFill="1" applyBorder="1" applyAlignment="1">
      <alignment vertical="center"/>
    </xf>
    <xf numFmtId="43" fontId="6" fillId="7" borderId="10" xfId="42" applyFont="1" applyFill="1" applyBorder="1" applyAlignment="1">
      <alignment vertical="top"/>
    </xf>
    <xf numFmtId="43" fontId="6" fillId="7" borderId="14" xfId="42" applyFont="1" applyFill="1" applyBorder="1" applyAlignment="1">
      <alignment/>
    </xf>
    <xf numFmtId="43" fontId="6" fillId="6" borderId="12" xfId="0" applyNumberFormat="1" applyFont="1" applyFill="1" applyBorder="1" applyAlignment="1" applyProtection="1">
      <alignment horizontal="center"/>
      <protection/>
    </xf>
    <xf numFmtId="43" fontId="6" fillId="36" borderId="12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/>
    </xf>
    <xf numFmtId="43" fontId="6" fillId="0" borderId="10" xfId="42" applyFont="1" applyFill="1" applyBorder="1" applyAlignment="1" applyProtection="1">
      <alignment horizontal="left"/>
      <protection/>
    </xf>
    <xf numFmtId="43" fontId="6" fillId="0" borderId="10" xfId="42" applyFont="1" applyFill="1" applyBorder="1" applyAlignment="1">
      <alignment vertical="top"/>
    </xf>
    <xf numFmtId="43" fontId="13" fillId="0" borderId="0" xfId="42" applyFont="1" applyAlignment="1">
      <alignment/>
    </xf>
    <xf numFmtId="43" fontId="69" fillId="0" borderId="0" xfId="42" applyFont="1" applyAlignment="1">
      <alignment/>
    </xf>
    <xf numFmtId="43" fontId="5" fillId="0" borderId="13" xfId="42" applyFont="1" applyFill="1" applyBorder="1" applyAlignment="1" applyProtection="1">
      <alignment horizontal="left"/>
      <protection/>
    </xf>
    <xf numFmtId="0" fontId="11" fillId="36" borderId="15" xfId="0" applyFont="1" applyFill="1" applyBorder="1" applyAlignment="1">
      <alignment horizontal="center" vertical="center"/>
    </xf>
    <xf numFmtId="0" fontId="63" fillId="37" borderId="13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63" fillId="37" borderId="13" xfId="0" applyFont="1" applyFill="1" applyBorder="1" applyAlignment="1">
      <alignment horizontal="center" vertical="center"/>
    </xf>
    <xf numFmtId="2" fontId="63" fillId="37" borderId="13" xfId="0" applyNumberFormat="1" applyFont="1" applyFill="1" applyBorder="1" applyAlignment="1">
      <alignment horizontal="center" vertical="center"/>
    </xf>
    <xf numFmtId="43" fontId="8" fillId="37" borderId="14" xfId="42" applyFont="1" applyFill="1" applyBorder="1" applyAlignment="1">
      <alignment/>
    </xf>
    <xf numFmtId="2" fontId="8" fillId="37" borderId="14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70" fillId="0" borderId="0" xfId="0" applyFont="1" applyAlignment="1">
      <alignment/>
    </xf>
    <xf numFmtId="0" fontId="63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horizontal="center" vertical="center"/>
    </xf>
    <xf numFmtId="43" fontId="8" fillId="38" borderId="12" xfId="0" applyNumberFormat="1" applyFont="1" applyFill="1" applyBorder="1" applyAlignment="1" applyProtection="1">
      <alignment horizontal="center"/>
      <protection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2" fontId="71" fillId="0" borderId="0" xfId="0" applyNumberFormat="1" applyFont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43" fontId="60" fillId="0" borderId="10" xfId="42" applyFont="1" applyFill="1" applyBorder="1" applyAlignment="1">
      <alignment/>
    </xf>
    <xf numFmtId="0" fontId="67" fillId="0" borderId="15" xfId="0" applyFont="1" applyBorder="1" applyAlignment="1">
      <alignment horizontal="center" vertical="center" wrapText="1"/>
    </xf>
    <xf numFmtId="43" fontId="62" fillId="0" borderId="0" xfId="42" applyFont="1" applyAlignment="1">
      <alignment/>
    </xf>
    <xf numFmtId="43" fontId="4" fillId="0" borderId="0" xfId="42" applyFont="1" applyAlignment="1">
      <alignment/>
    </xf>
    <xf numFmtId="43" fontId="7" fillId="0" borderId="0" xfId="42" applyFont="1" applyAlignment="1">
      <alignment/>
    </xf>
    <xf numFmtId="0" fontId="67" fillId="0" borderId="15" xfId="0" applyFont="1" applyFill="1" applyBorder="1" applyAlignment="1">
      <alignment horizontal="center" vertical="center" wrapText="1"/>
    </xf>
    <xf numFmtId="2" fontId="6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43" fontId="8" fillId="34" borderId="14" xfId="42" applyFont="1" applyFill="1" applyBorder="1" applyAlignment="1">
      <alignment/>
    </xf>
    <xf numFmtId="2" fontId="8" fillId="34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19" xfId="0" applyFont="1" applyFill="1" applyBorder="1" applyAlignment="1" applyProtection="1">
      <alignment horizontal="center" wrapText="1"/>
      <protection locked="0"/>
    </xf>
    <xf numFmtId="0" fontId="8" fillId="38" borderId="11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8" fillId="15" borderId="11" xfId="0" applyFont="1" applyFill="1" applyBorder="1" applyAlignment="1">
      <alignment horizontal="center"/>
    </xf>
    <xf numFmtId="0" fontId="8" fillId="15" borderId="17" xfId="0" applyFont="1" applyFill="1" applyBorder="1" applyAlignment="1">
      <alignment horizontal="center"/>
    </xf>
    <xf numFmtId="0" fontId="8" fillId="15" borderId="18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/>
    </xf>
    <xf numFmtId="0" fontId="8" fillId="12" borderId="18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8" fillId="11" borderId="17" xfId="0" applyFont="1" applyFill="1" applyBorder="1" applyAlignment="1">
      <alignment horizontal="center"/>
    </xf>
    <xf numFmtId="0" fontId="8" fillId="11" borderId="18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J56"/>
  <sheetViews>
    <sheetView tabSelected="1" view="pageBreakPreview" zoomScale="140" zoomScaleSheetLayoutView="140" zoomScalePageLayoutView="0" workbookViewId="0" topLeftCell="A1">
      <pane xSplit="2" ySplit="5" topLeftCell="Y3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53" sqref="AE53"/>
    </sheetView>
  </sheetViews>
  <sheetFormatPr defaultColWidth="9.140625" defaultRowHeight="15"/>
  <cols>
    <col min="1" max="1" width="3.140625" style="1" bestFit="1" customWidth="1"/>
    <col min="2" max="2" width="28.8515625" style="1" customWidth="1"/>
    <col min="3" max="3" width="14.00390625" style="11" hidden="1" customWidth="1"/>
    <col min="4" max="4" width="11.8515625" style="1" hidden="1" customWidth="1"/>
    <col min="5" max="5" width="13.00390625" style="1" hidden="1" customWidth="1"/>
    <col min="6" max="6" width="14.00390625" style="11" hidden="1" customWidth="1"/>
    <col min="7" max="7" width="13.140625" style="3" hidden="1" customWidth="1"/>
    <col min="8" max="8" width="12.7109375" style="3" hidden="1" customWidth="1"/>
    <col min="9" max="9" width="12.140625" style="1" hidden="1" customWidth="1"/>
    <col min="10" max="10" width="7.00390625" style="2" hidden="1" customWidth="1"/>
    <col min="11" max="11" width="14.00390625" style="2" hidden="1" customWidth="1"/>
    <col min="12" max="12" width="13.00390625" style="1" hidden="1" customWidth="1"/>
    <col min="13" max="13" width="13.140625" style="1" bestFit="1" customWidth="1"/>
    <col min="14" max="14" width="11.8515625" style="1" hidden="1" customWidth="1"/>
    <col min="15" max="15" width="6.421875" style="2" hidden="1" customWidth="1"/>
    <col min="16" max="16" width="14.00390625" style="1" bestFit="1" customWidth="1"/>
    <col min="17" max="17" width="13.00390625" style="1" customWidth="1"/>
    <col min="18" max="18" width="12.7109375" style="3" customWidth="1"/>
    <col min="19" max="19" width="12.00390625" style="1" customWidth="1"/>
    <col min="20" max="20" width="6.421875" style="2" customWidth="1"/>
    <col min="21" max="21" width="14.00390625" style="1" customWidth="1"/>
    <col min="22" max="22" width="13.00390625" style="1" customWidth="1"/>
    <col min="23" max="23" width="12.7109375" style="3" customWidth="1"/>
    <col min="24" max="24" width="13.28125" style="1" customWidth="1"/>
    <col min="25" max="25" width="7.00390625" style="2" customWidth="1"/>
    <col min="26" max="26" width="14.00390625" style="1" customWidth="1"/>
    <col min="27" max="27" width="13.00390625" style="1" customWidth="1"/>
    <col min="28" max="28" width="12.7109375" style="3" customWidth="1"/>
    <col min="29" max="29" width="13.28125" style="1" customWidth="1"/>
    <col min="30" max="30" width="7.00390625" style="2" customWidth="1"/>
    <col min="31" max="31" width="14.00390625" style="1" bestFit="1" customWidth="1"/>
    <col min="32" max="32" width="13.00390625" style="176" bestFit="1" customWidth="1"/>
    <col min="33" max="33" width="12.7109375" style="177" bestFit="1" customWidth="1"/>
    <col min="34" max="34" width="13.28125" style="176" bestFit="1" customWidth="1"/>
    <col min="35" max="35" width="7.00390625" style="178" bestFit="1" customWidth="1"/>
    <col min="36" max="36" width="9.00390625" style="189" customWidth="1"/>
    <col min="37" max="16384" width="9.00390625" style="1" customWidth="1"/>
  </cols>
  <sheetData>
    <row r="1" spans="1:35" ht="21" customHeight="1">
      <c r="A1" s="197" t="s">
        <v>42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</row>
    <row r="2" spans="1:35" ht="21" customHeight="1">
      <c r="A2" s="197" t="s">
        <v>106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</row>
    <row r="3" spans="1:35" ht="21" customHeight="1">
      <c r="A3" s="198" t="s">
        <v>125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</row>
    <row r="4" spans="1:36" s="40" customFormat="1" ht="15.75">
      <c r="A4" s="194" t="s">
        <v>38</v>
      </c>
      <c r="B4" s="194" t="s">
        <v>45</v>
      </c>
      <c r="C4" s="195" t="s">
        <v>59</v>
      </c>
      <c r="D4" s="196"/>
      <c r="E4" s="196"/>
      <c r="F4" s="199" t="s">
        <v>60</v>
      </c>
      <c r="G4" s="200"/>
      <c r="H4" s="200"/>
      <c r="I4" s="200"/>
      <c r="J4" s="201"/>
      <c r="K4" s="202" t="s">
        <v>61</v>
      </c>
      <c r="L4" s="203"/>
      <c r="M4" s="203"/>
      <c r="N4" s="203"/>
      <c r="O4" s="204"/>
      <c r="P4" s="206" t="s">
        <v>67</v>
      </c>
      <c r="Q4" s="207"/>
      <c r="R4" s="207"/>
      <c r="S4" s="207"/>
      <c r="T4" s="208"/>
      <c r="U4" s="209" t="s">
        <v>70</v>
      </c>
      <c r="V4" s="210"/>
      <c r="W4" s="210"/>
      <c r="X4" s="210"/>
      <c r="Y4" s="211"/>
      <c r="Z4" s="212" t="s">
        <v>115</v>
      </c>
      <c r="AA4" s="213"/>
      <c r="AB4" s="213"/>
      <c r="AC4" s="213"/>
      <c r="AD4" s="214"/>
      <c r="AE4" s="195" t="s">
        <v>130</v>
      </c>
      <c r="AF4" s="196"/>
      <c r="AG4" s="196"/>
      <c r="AH4" s="196"/>
      <c r="AI4" s="205"/>
      <c r="AJ4" s="190"/>
    </row>
    <row r="5" spans="1:36" s="40" customFormat="1" ht="31.5">
      <c r="A5" s="194"/>
      <c r="B5" s="194"/>
      <c r="C5" s="41" t="s">
        <v>57</v>
      </c>
      <c r="D5" s="42" t="s">
        <v>56</v>
      </c>
      <c r="E5" s="43" t="s">
        <v>58</v>
      </c>
      <c r="F5" s="171" t="s">
        <v>57</v>
      </c>
      <c r="G5" s="172" t="s">
        <v>56</v>
      </c>
      <c r="H5" s="173" t="s">
        <v>58</v>
      </c>
      <c r="I5" s="174" t="s">
        <v>51</v>
      </c>
      <c r="J5" s="174" t="s">
        <v>52</v>
      </c>
      <c r="K5" s="44" t="s">
        <v>57</v>
      </c>
      <c r="L5" s="45" t="s">
        <v>56</v>
      </c>
      <c r="M5" s="46" t="s">
        <v>58</v>
      </c>
      <c r="N5" s="47" t="s">
        <v>51</v>
      </c>
      <c r="O5" s="48" t="s">
        <v>52</v>
      </c>
      <c r="P5" s="49" t="s">
        <v>57</v>
      </c>
      <c r="Q5" s="50" t="s">
        <v>56</v>
      </c>
      <c r="R5" s="50" t="s">
        <v>58</v>
      </c>
      <c r="S5" s="51" t="s">
        <v>51</v>
      </c>
      <c r="T5" s="52" t="s">
        <v>52</v>
      </c>
      <c r="U5" s="53" t="s">
        <v>57</v>
      </c>
      <c r="V5" s="54" t="s">
        <v>56</v>
      </c>
      <c r="W5" s="54" t="s">
        <v>58</v>
      </c>
      <c r="X5" s="55" t="s">
        <v>51</v>
      </c>
      <c r="Y5" s="56" t="s">
        <v>52</v>
      </c>
      <c r="Z5" s="163" t="s">
        <v>57</v>
      </c>
      <c r="AA5" s="164" t="s">
        <v>56</v>
      </c>
      <c r="AB5" s="164" t="s">
        <v>58</v>
      </c>
      <c r="AC5" s="165" t="s">
        <v>51</v>
      </c>
      <c r="AD5" s="166" t="s">
        <v>52</v>
      </c>
      <c r="AE5" s="43" t="s">
        <v>57</v>
      </c>
      <c r="AF5" s="43" t="s">
        <v>56</v>
      </c>
      <c r="AG5" s="43" t="s">
        <v>58</v>
      </c>
      <c r="AH5" s="180" t="s">
        <v>51</v>
      </c>
      <c r="AI5" s="181" t="s">
        <v>52</v>
      </c>
      <c r="AJ5" s="190"/>
    </row>
    <row r="6" spans="1:36" s="40" customFormat="1" ht="15.75">
      <c r="A6" s="57">
        <v>1</v>
      </c>
      <c r="B6" s="58" t="s">
        <v>6</v>
      </c>
      <c r="C6" s="59">
        <v>11054225</v>
      </c>
      <c r="D6" s="60">
        <v>3061500</v>
      </c>
      <c r="E6" s="61">
        <f>SUM(C6:D6)</f>
        <v>14115725</v>
      </c>
      <c r="F6" s="59">
        <v>11013400</v>
      </c>
      <c r="G6" s="60">
        <v>8897618.24</v>
      </c>
      <c r="H6" s="61">
        <f>SUM(F6:G6)</f>
        <v>19911018.240000002</v>
      </c>
      <c r="I6" s="59">
        <f>SUM(H6-E6)</f>
        <v>5795293.240000002</v>
      </c>
      <c r="J6" s="62">
        <f aca="true" t="shared" si="0" ref="J6:J47">((H6-E6)*100)/IF(E6=0,H6,E6)</f>
        <v>41.05558332993879</v>
      </c>
      <c r="K6" s="59">
        <v>7982650</v>
      </c>
      <c r="L6" s="60">
        <v>7308129.54</v>
      </c>
      <c r="M6" s="61">
        <f>SUM(K6:L6)</f>
        <v>15290779.54</v>
      </c>
      <c r="N6" s="59">
        <f>SUM(M6-H6)</f>
        <v>-4620238.700000003</v>
      </c>
      <c r="O6" s="62">
        <f aca="true" t="shared" si="1" ref="O6:O47">((M6-H6)*100)/IF(H6=0,M6,H6)</f>
        <v>-23.20443206022598</v>
      </c>
      <c r="P6" s="63">
        <v>8875200</v>
      </c>
      <c r="Q6" s="63">
        <v>6191680.08</v>
      </c>
      <c r="R6" s="64">
        <f>SUM(P6:Q6)</f>
        <v>15066880.08</v>
      </c>
      <c r="S6" s="63">
        <f>SUM(R6-M6)</f>
        <v>-223899.45999999903</v>
      </c>
      <c r="T6" s="62">
        <f>((R6-M6)*100)/IF(M6=0,R6,M6)</f>
        <v>-1.464277602160753</v>
      </c>
      <c r="U6" s="63">
        <v>9361450</v>
      </c>
      <c r="V6" s="63">
        <v>5736006.09</v>
      </c>
      <c r="W6" s="64">
        <f>SUM(U6:V6)</f>
        <v>15097456.09</v>
      </c>
      <c r="X6" s="63">
        <f>SUM(W6-R6)</f>
        <v>30576.009999999776</v>
      </c>
      <c r="Y6" s="62">
        <f>((W6-R6)*100)/IF(R6=0,W6,R6)</f>
        <v>0.20293524497209495</v>
      </c>
      <c r="Z6" s="63">
        <v>8468220</v>
      </c>
      <c r="AA6" s="63">
        <v>6211490.01</v>
      </c>
      <c r="AB6" s="64">
        <f>SUM(Z6:AA6)</f>
        <v>14679710.01</v>
      </c>
      <c r="AC6" s="63">
        <f>SUM(AB6-W6)</f>
        <v>-417746.0800000001</v>
      </c>
      <c r="AD6" s="62">
        <f>((AB6-W6)*100)/IF(W6=0,AB6,W6)</f>
        <v>-2.7669964894065813</v>
      </c>
      <c r="AE6" s="63">
        <v>8578420</v>
      </c>
      <c r="AF6" s="63">
        <v>8452642.8</v>
      </c>
      <c r="AG6" s="64">
        <f>SUM(AE6:AF6)</f>
        <v>17031062.8</v>
      </c>
      <c r="AH6" s="63">
        <f>SUM(AG6-AB6)</f>
        <v>2351352.790000001</v>
      </c>
      <c r="AI6" s="62">
        <f>((AG6-AB6)*100)/IF(AB6=0,AG6,AB6)</f>
        <v>16.017705992817504</v>
      </c>
      <c r="AJ6" s="191"/>
    </row>
    <row r="7" spans="1:36" s="40" customFormat="1" ht="15.75">
      <c r="A7" s="57">
        <v>2</v>
      </c>
      <c r="B7" s="58" t="s">
        <v>1</v>
      </c>
      <c r="C7" s="59">
        <v>35555000</v>
      </c>
      <c r="D7" s="60">
        <v>1743718</v>
      </c>
      <c r="E7" s="61">
        <f aca="true" t="shared" si="2" ref="E7:E46">SUM(C7:D7)</f>
        <v>37298718</v>
      </c>
      <c r="F7" s="59">
        <v>34760500</v>
      </c>
      <c r="G7" s="60">
        <v>1648040</v>
      </c>
      <c r="H7" s="61">
        <f aca="true" t="shared" si="3" ref="H7:H46">SUM(F7:G7)</f>
        <v>36408540</v>
      </c>
      <c r="I7" s="59">
        <f aca="true" t="shared" si="4" ref="I7:I47">SUM(H7-E7)</f>
        <v>-890178</v>
      </c>
      <c r="J7" s="62">
        <f t="shared" si="0"/>
        <v>-2.386618221033763</v>
      </c>
      <c r="K7" s="59">
        <v>45261750</v>
      </c>
      <c r="L7" s="60">
        <v>1993159</v>
      </c>
      <c r="M7" s="61">
        <f aca="true" t="shared" si="5" ref="M7:M46">SUM(K7:L7)</f>
        <v>47254909</v>
      </c>
      <c r="N7" s="59">
        <f aca="true" t="shared" si="6" ref="N7:N47">SUM(M7-H7)</f>
        <v>10846369</v>
      </c>
      <c r="O7" s="62">
        <f t="shared" si="1"/>
        <v>29.79072766993678</v>
      </c>
      <c r="P7" s="63">
        <v>47649500</v>
      </c>
      <c r="Q7" s="63">
        <v>1559939</v>
      </c>
      <c r="R7" s="64">
        <f aca="true" t="shared" si="7" ref="R7:R46">SUM(P7:Q7)</f>
        <v>49209439</v>
      </c>
      <c r="S7" s="63">
        <f>SUM(R7-M7)</f>
        <v>1954530</v>
      </c>
      <c r="T7" s="62">
        <f aca="true" t="shared" si="8" ref="T7:T47">((R7-M7)*100)/IF(M7=0,R7,M7)</f>
        <v>4.1361417075208</v>
      </c>
      <c r="U7" s="63">
        <v>52143850</v>
      </c>
      <c r="V7" s="63">
        <v>1025500</v>
      </c>
      <c r="W7" s="64">
        <f aca="true" t="shared" si="9" ref="W7:W46">SUM(U7:V7)</f>
        <v>53169350</v>
      </c>
      <c r="X7" s="63">
        <f aca="true" t="shared" si="10" ref="X7:X46">SUM(W7-R7)</f>
        <v>3959911</v>
      </c>
      <c r="Y7" s="62">
        <f aca="true" t="shared" si="11" ref="Y7:Y40">((W7-R7)*100)/IF(R7=0,W7,R7)</f>
        <v>8.04705576911779</v>
      </c>
      <c r="Z7" s="63">
        <v>55824450</v>
      </c>
      <c r="AA7" s="63">
        <v>3175194</v>
      </c>
      <c r="AB7" s="64">
        <f aca="true" t="shared" si="12" ref="AB7:AB46">SUM(Z7:AA7)</f>
        <v>58999644</v>
      </c>
      <c r="AC7" s="63">
        <f aca="true" t="shared" si="13" ref="AC7:AC45">SUM(AB7-W7)</f>
        <v>5830294</v>
      </c>
      <c r="AD7" s="62">
        <f aca="true" t="shared" si="14" ref="AD7:AD46">((AB7-W7)*100)/IF(W7=0,AB7,W7)</f>
        <v>10.96551678739725</v>
      </c>
      <c r="AE7" s="63">
        <v>59303925</v>
      </c>
      <c r="AF7" s="63">
        <v>2040500</v>
      </c>
      <c r="AG7" s="64">
        <f aca="true" t="shared" si="15" ref="AG7:AG46">SUM(AE7:AF7)</f>
        <v>61344425</v>
      </c>
      <c r="AH7" s="63">
        <f aca="true" t="shared" si="16" ref="AH7:AH45">SUM(AG7-AB7)</f>
        <v>2344781</v>
      </c>
      <c r="AI7" s="62">
        <f aca="true" t="shared" si="17" ref="AI7:AI46">((AG7-AB7)*100)/IF(AB7=0,AG7,AB7)</f>
        <v>3.974229064839781</v>
      </c>
      <c r="AJ7" s="191"/>
    </row>
    <row r="8" spans="1:36" s="40" customFormat="1" ht="15.75">
      <c r="A8" s="57">
        <v>3</v>
      </c>
      <c r="B8" s="39" t="s">
        <v>3</v>
      </c>
      <c r="C8" s="59">
        <v>53697000</v>
      </c>
      <c r="D8" s="60">
        <v>4213971</v>
      </c>
      <c r="E8" s="61">
        <f t="shared" si="2"/>
        <v>57910971</v>
      </c>
      <c r="F8" s="59">
        <v>55155000</v>
      </c>
      <c r="G8" s="60">
        <v>5570430.46</v>
      </c>
      <c r="H8" s="61">
        <f t="shared" si="3"/>
        <v>60725430.46</v>
      </c>
      <c r="I8" s="59">
        <f t="shared" si="4"/>
        <v>2814459.460000001</v>
      </c>
      <c r="J8" s="62">
        <f t="shared" si="0"/>
        <v>4.859976290157527</v>
      </c>
      <c r="K8" s="59">
        <v>55360250</v>
      </c>
      <c r="L8" s="60">
        <v>4299204.44</v>
      </c>
      <c r="M8" s="61">
        <f t="shared" si="5"/>
        <v>59659454.44</v>
      </c>
      <c r="N8" s="59">
        <f t="shared" si="6"/>
        <v>-1065976.0200000033</v>
      </c>
      <c r="O8" s="62">
        <f t="shared" si="1"/>
        <v>-1.7554029867308465</v>
      </c>
      <c r="P8" s="63">
        <v>55907500</v>
      </c>
      <c r="Q8" s="63">
        <v>2612597</v>
      </c>
      <c r="R8" s="64">
        <f t="shared" si="7"/>
        <v>58520097</v>
      </c>
      <c r="S8" s="63">
        <f aca="true" t="shared" si="18" ref="S8:S46">SUM(R8-M8)</f>
        <v>-1139357.4399999976</v>
      </c>
      <c r="T8" s="62">
        <f t="shared" si="8"/>
        <v>-1.9097684527870746</v>
      </c>
      <c r="U8" s="63">
        <v>53984625</v>
      </c>
      <c r="V8" s="63">
        <v>2582723</v>
      </c>
      <c r="W8" s="64">
        <f t="shared" si="9"/>
        <v>56567348</v>
      </c>
      <c r="X8" s="63">
        <f t="shared" si="10"/>
        <v>-1952749</v>
      </c>
      <c r="Y8" s="62">
        <f t="shared" si="11"/>
        <v>-3.336886129905082</v>
      </c>
      <c r="Z8" s="63">
        <v>52353625</v>
      </c>
      <c r="AA8" s="63">
        <v>6943469.22</v>
      </c>
      <c r="AB8" s="64">
        <f t="shared" si="12"/>
        <v>59297094.22</v>
      </c>
      <c r="AC8" s="63">
        <f t="shared" si="13"/>
        <v>2729746.219999999</v>
      </c>
      <c r="AD8" s="62">
        <f t="shared" si="14"/>
        <v>4.825657055727624</v>
      </c>
      <c r="AE8" s="63">
        <v>58483425</v>
      </c>
      <c r="AF8" s="63">
        <v>10651559.55</v>
      </c>
      <c r="AG8" s="64">
        <f t="shared" si="15"/>
        <v>69134984.55</v>
      </c>
      <c r="AH8" s="63">
        <f t="shared" si="16"/>
        <v>9837890.329999998</v>
      </c>
      <c r="AI8" s="62">
        <f t="shared" si="17"/>
        <v>16.590847257203084</v>
      </c>
      <c r="AJ8" s="191"/>
    </row>
    <row r="9" spans="1:36" s="40" customFormat="1" ht="15.75">
      <c r="A9" s="57">
        <v>4</v>
      </c>
      <c r="B9" s="58" t="s">
        <v>5</v>
      </c>
      <c r="C9" s="59">
        <v>25913250</v>
      </c>
      <c r="D9" s="60">
        <v>140109</v>
      </c>
      <c r="E9" s="61">
        <f t="shared" si="2"/>
        <v>26053359</v>
      </c>
      <c r="F9" s="59">
        <v>25540750</v>
      </c>
      <c r="G9" s="60">
        <v>69397.47</v>
      </c>
      <c r="H9" s="61">
        <f t="shared" si="3"/>
        <v>25610147.47</v>
      </c>
      <c r="I9" s="59">
        <f t="shared" si="4"/>
        <v>-443211.5300000012</v>
      </c>
      <c r="J9" s="62">
        <f t="shared" si="0"/>
        <v>-1.7011684750515326</v>
      </c>
      <c r="K9" s="59">
        <v>26611000</v>
      </c>
      <c r="L9" s="60">
        <v>725258.93</v>
      </c>
      <c r="M9" s="61">
        <f t="shared" si="5"/>
        <v>27336258.93</v>
      </c>
      <c r="N9" s="59">
        <f t="shared" si="6"/>
        <v>1726111.460000001</v>
      </c>
      <c r="O9" s="62">
        <f t="shared" si="1"/>
        <v>6.739951271354397</v>
      </c>
      <c r="P9" s="63">
        <v>24932750</v>
      </c>
      <c r="Q9" s="63">
        <v>180155</v>
      </c>
      <c r="R9" s="64">
        <f t="shared" si="7"/>
        <v>25112905</v>
      </c>
      <c r="S9" s="63">
        <f t="shared" si="18"/>
        <v>-2223353.9299999997</v>
      </c>
      <c r="T9" s="62">
        <f t="shared" si="8"/>
        <v>-8.133351149816606</v>
      </c>
      <c r="U9" s="63">
        <v>24223700</v>
      </c>
      <c r="V9" s="63">
        <v>216947</v>
      </c>
      <c r="W9" s="64">
        <f t="shared" si="9"/>
        <v>24440647</v>
      </c>
      <c r="X9" s="63">
        <f t="shared" si="10"/>
        <v>-672258</v>
      </c>
      <c r="Y9" s="62">
        <f t="shared" si="11"/>
        <v>-2.676942392765791</v>
      </c>
      <c r="Z9" s="63">
        <v>22824800</v>
      </c>
      <c r="AA9" s="63">
        <v>1100312</v>
      </c>
      <c r="AB9" s="64">
        <f t="shared" si="12"/>
        <v>23925112</v>
      </c>
      <c r="AC9" s="63">
        <f t="shared" si="13"/>
        <v>-515535</v>
      </c>
      <c r="AD9" s="62">
        <f t="shared" si="14"/>
        <v>-2.1093345032969055</v>
      </c>
      <c r="AE9" s="63">
        <v>22749350</v>
      </c>
      <c r="AF9" s="63">
        <v>411219</v>
      </c>
      <c r="AG9" s="64">
        <f t="shared" si="15"/>
        <v>23160569</v>
      </c>
      <c r="AH9" s="63">
        <f t="shared" si="16"/>
        <v>-764543</v>
      </c>
      <c r="AI9" s="62">
        <f t="shared" si="17"/>
        <v>-3.19556706777381</v>
      </c>
      <c r="AJ9" s="191"/>
    </row>
    <row r="10" spans="1:36" s="40" customFormat="1" ht="15.75">
      <c r="A10" s="57">
        <v>5</v>
      </c>
      <c r="B10" s="58" t="s">
        <v>7</v>
      </c>
      <c r="C10" s="59">
        <v>33076000</v>
      </c>
      <c r="D10" s="60">
        <v>5853965.1</v>
      </c>
      <c r="E10" s="61">
        <f t="shared" si="2"/>
        <v>38929965.1</v>
      </c>
      <c r="F10" s="59">
        <v>27293500</v>
      </c>
      <c r="G10" s="60">
        <v>47518286.89000001</v>
      </c>
      <c r="H10" s="61">
        <f t="shared" si="3"/>
        <v>74811786.89000002</v>
      </c>
      <c r="I10" s="59">
        <f t="shared" si="4"/>
        <v>35881821.790000014</v>
      </c>
      <c r="J10" s="62">
        <f t="shared" si="0"/>
        <v>92.17018740661551</v>
      </c>
      <c r="K10" s="59">
        <v>26980750</v>
      </c>
      <c r="L10" s="60">
        <v>25256456.33</v>
      </c>
      <c r="M10" s="61">
        <f t="shared" si="5"/>
        <v>52237206.33</v>
      </c>
      <c r="N10" s="59">
        <f t="shared" si="6"/>
        <v>-22574580.560000017</v>
      </c>
      <c r="O10" s="62">
        <f t="shared" si="1"/>
        <v>-30.175165570089504</v>
      </c>
      <c r="P10" s="63">
        <v>21310125</v>
      </c>
      <c r="Q10" s="63">
        <v>22390347.44</v>
      </c>
      <c r="R10" s="64">
        <f t="shared" si="7"/>
        <v>43700472.44</v>
      </c>
      <c r="S10" s="63">
        <f t="shared" si="18"/>
        <v>-8536733.89</v>
      </c>
      <c r="T10" s="62">
        <f t="shared" si="8"/>
        <v>-16.342248159426024</v>
      </c>
      <c r="U10" s="63">
        <v>18956937.5</v>
      </c>
      <c r="V10" s="63">
        <v>12974588.129999999</v>
      </c>
      <c r="W10" s="64">
        <f t="shared" si="9"/>
        <v>31931525.63</v>
      </c>
      <c r="X10" s="63">
        <f t="shared" si="10"/>
        <v>-11768946.809999999</v>
      </c>
      <c r="Y10" s="62">
        <f t="shared" si="11"/>
        <v>-26.93093724823813</v>
      </c>
      <c r="Z10" s="63">
        <v>16381437.5</v>
      </c>
      <c r="AA10" s="63">
        <v>32742798</v>
      </c>
      <c r="AB10" s="64">
        <f t="shared" si="12"/>
        <v>49124235.5</v>
      </c>
      <c r="AC10" s="63">
        <f t="shared" si="13"/>
        <v>17192709.87</v>
      </c>
      <c r="AD10" s="62">
        <f t="shared" si="14"/>
        <v>53.84243167463089</v>
      </c>
      <c r="AE10" s="63">
        <v>15390025</v>
      </c>
      <c r="AF10" s="63">
        <v>31275475</v>
      </c>
      <c r="AG10" s="64">
        <f t="shared" si="15"/>
        <v>46665500</v>
      </c>
      <c r="AH10" s="63">
        <f t="shared" si="16"/>
        <v>-2458735.5</v>
      </c>
      <c r="AI10" s="62">
        <f t="shared" si="17"/>
        <v>-5.005137433640061</v>
      </c>
      <c r="AJ10" s="191"/>
    </row>
    <row r="11" spans="1:36" s="67" customFormat="1" ht="15.75">
      <c r="A11" s="68">
        <v>6</v>
      </c>
      <c r="B11" s="58" t="s">
        <v>35</v>
      </c>
      <c r="C11" s="65">
        <v>150000</v>
      </c>
      <c r="D11" s="59">
        <v>0</v>
      </c>
      <c r="E11" s="69">
        <f t="shared" si="2"/>
        <v>150000</v>
      </c>
      <c r="F11" s="59">
        <v>1099000</v>
      </c>
      <c r="G11" s="59">
        <v>1715266</v>
      </c>
      <c r="H11" s="69">
        <f t="shared" si="3"/>
        <v>2814266</v>
      </c>
      <c r="I11" s="59">
        <f t="shared" si="4"/>
        <v>2664266</v>
      </c>
      <c r="J11" s="62">
        <f t="shared" si="0"/>
        <v>1776.1773333333333</v>
      </c>
      <c r="K11" s="59">
        <v>2786750</v>
      </c>
      <c r="L11" s="59">
        <v>3298120</v>
      </c>
      <c r="M11" s="69">
        <f t="shared" si="5"/>
        <v>6084870</v>
      </c>
      <c r="N11" s="59">
        <f t="shared" si="6"/>
        <v>3270604</v>
      </c>
      <c r="O11" s="62">
        <f t="shared" si="1"/>
        <v>116.21516942605994</v>
      </c>
      <c r="P11" s="66">
        <v>3630750</v>
      </c>
      <c r="Q11" s="66">
        <v>443250</v>
      </c>
      <c r="R11" s="70">
        <f t="shared" si="7"/>
        <v>4074000</v>
      </c>
      <c r="S11" s="66">
        <f t="shared" si="18"/>
        <v>-2010870</v>
      </c>
      <c r="T11" s="62">
        <f t="shared" si="8"/>
        <v>-33.047049485034194</v>
      </c>
      <c r="U11" s="66">
        <v>4780700</v>
      </c>
      <c r="V11" s="66">
        <v>1595646.46</v>
      </c>
      <c r="W11" s="70">
        <f t="shared" si="9"/>
        <v>6376346.46</v>
      </c>
      <c r="X11" s="66">
        <f t="shared" si="10"/>
        <v>2302346.46</v>
      </c>
      <c r="Y11" s="62">
        <f t="shared" si="11"/>
        <v>56.51316789396171</v>
      </c>
      <c r="Z11" s="66">
        <v>4670150</v>
      </c>
      <c r="AA11" s="66">
        <v>3980239.37</v>
      </c>
      <c r="AB11" s="70">
        <f t="shared" si="12"/>
        <v>8650389.370000001</v>
      </c>
      <c r="AC11" s="66">
        <f t="shared" si="13"/>
        <v>2274042.910000001</v>
      </c>
      <c r="AD11" s="62">
        <f t="shared" si="14"/>
        <v>35.663728818148336</v>
      </c>
      <c r="AE11" s="66">
        <v>4707450</v>
      </c>
      <c r="AF11" s="66">
        <v>4812696</v>
      </c>
      <c r="AG11" s="66">
        <f t="shared" si="15"/>
        <v>9520146</v>
      </c>
      <c r="AH11" s="66">
        <f t="shared" si="16"/>
        <v>869756.629999999</v>
      </c>
      <c r="AI11" s="62">
        <f>((AG11-AB11)*100)/IF(AB11=0,AG11,AB11)</f>
        <v>10.054537348530923</v>
      </c>
      <c r="AJ11" s="191"/>
    </row>
    <row r="12" spans="1:36" s="40" customFormat="1" ht="15.75">
      <c r="A12" s="57">
        <v>7</v>
      </c>
      <c r="B12" s="39" t="s">
        <v>2</v>
      </c>
      <c r="C12" s="59">
        <v>12577500</v>
      </c>
      <c r="D12" s="60">
        <v>1107620</v>
      </c>
      <c r="E12" s="61">
        <f t="shared" si="2"/>
        <v>13685120</v>
      </c>
      <c r="F12" s="59">
        <v>11815250</v>
      </c>
      <c r="G12" s="60">
        <v>1417823.1099999999</v>
      </c>
      <c r="H12" s="61">
        <f t="shared" si="3"/>
        <v>13233073.11</v>
      </c>
      <c r="I12" s="59">
        <f t="shared" si="4"/>
        <v>-452046.8900000006</v>
      </c>
      <c r="J12" s="62">
        <f t="shared" si="0"/>
        <v>-3.3032000450123973</v>
      </c>
      <c r="K12" s="59">
        <v>12282500</v>
      </c>
      <c r="L12" s="60">
        <v>223550</v>
      </c>
      <c r="M12" s="61">
        <f t="shared" si="5"/>
        <v>12506050</v>
      </c>
      <c r="N12" s="59">
        <f t="shared" si="6"/>
        <v>-727023.1099999994</v>
      </c>
      <c r="O12" s="62">
        <f t="shared" si="1"/>
        <v>-5.493985440544425</v>
      </c>
      <c r="P12" s="63">
        <v>12532500</v>
      </c>
      <c r="Q12" s="63">
        <v>1212450</v>
      </c>
      <c r="R12" s="64">
        <f t="shared" si="7"/>
        <v>13744950</v>
      </c>
      <c r="S12" s="63">
        <f t="shared" si="18"/>
        <v>1238900</v>
      </c>
      <c r="T12" s="62">
        <f t="shared" si="8"/>
        <v>9.90640529983488</v>
      </c>
      <c r="U12" s="63">
        <v>12809200</v>
      </c>
      <c r="V12" s="63">
        <v>890999</v>
      </c>
      <c r="W12" s="64">
        <f t="shared" si="9"/>
        <v>13700199</v>
      </c>
      <c r="X12" s="63">
        <f t="shared" si="10"/>
        <v>-44751</v>
      </c>
      <c r="Y12" s="62">
        <f t="shared" si="11"/>
        <v>-0.32558139534883723</v>
      </c>
      <c r="Z12" s="63">
        <v>12501800</v>
      </c>
      <c r="AA12" s="63">
        <v>1367800</v>
      </c>
      <c r="AB12" s="64">
        <f t="shared" si="12"/>
        <v>13869600</v>
      </c>
      <c r="AC12" s="63">
        <f t="shared" si="13"/>
        <v>169401</v>
      </c>
      <c r="AD12" s="62">
        <f t="shared" si="14"/>
        <v>1.2364856890034954</v>
      </c>
      <c r="AE12" s="63">
        <v>13767650</v>
      </c>
      <c r="AF12" s="63">
        <v>1193800</v>
      </c>
      <c r="AG12" s="64">
        <f t="shared" si="15"/>
        <v>14961450</v>
      </c>
      <c r="AH12" s="63">
        <f t="shared" si="16"/>
        <v>1091850</v>
      </c>
      <c r="AI12" s="62">
        <f t="shared" si="17"/>
        <v>7.872252984945492</v>
      </c>
      <c r="AJ12" s="191"/>
    </row>
    <row r="13" spans="1:36" s="40" customFormat="1" ht="15.75">
      <c r="A13" s="57">
        <v>8</v>
      </c>
      <c r="B13" s="58" t="s">
        <v>0</v>
      </c>
      <c r="C13" s="59">
        <v>75065750</v>
      </c>
      <c r="D13" s="60">
        <v>20183771.23</v>
      </c>
      <c r="E13" s="61">
        <f t="shared" si="2"/>
        <v>95249521.23</v>
      </c>
      <c r="F13" s="59">
        <v>61957750</v>
      </c>
      <c r="G13" s="60">
        <v>22216788.84</v>
      </c>
      <c r="H13" s="61">
        <f t="shared" si="3"/>
        <v>84174538.84</v>
      </c>
      <c r="I13" s="59">
        <f t="shared" si="4"/>
        <v>-11074982.39</v>
      </c>
      <c r="J13" s="62">
        <f t="shared" si="0"/>
        <v>-11.627336544041125</v>
      </c>
      <c r="K13" s="59">
        <v>67939050</v>
      </c>
      <c r="L13" s="60">
        <v>13085582.64</v>
      </c>
      <c r="M13" s="61">
        <f t="shared" si="5"/>
        <v>81024632.64</v>
      </c>
      <c r="N13" s="59">
        <f t="shared" si="6"/>
        <v>-3149906.200000003</v>
      </c>
      <c r="O13" s="62">
        <f t="shared" si="1"/>
        <v>-3.7421128091802003</v>
      </c>
      <c r="P13" s="63">
        <v>76091750</v>
      </c>
      <c r="Q13" s="63">
        <v>16775368</v>
      </c>
      <c r="R13" s="64">
        <f t="shared" si="7"/>
        <v>92867118</v>
      </c>
      <c r="S13" s="63">
        <f t="shared" si="18"/>
        <v>11842485.36</v>
      </c>
      <c r="T13" s="62">
        <f t="shared" si="8"/>
        <v>14.615907501385742</v>
      </c>
      <c r="U13" s="63">
        <v>74014450</v>
      </c>
      <c r="V13" s="63">
        <v>12575054</v>
      </c>
      <c r="W13" s="64">
        <f t="shared" si="9"/>
        <v>86589504</v>
      </c>
      <c r="X13" s="63">
        <f t="shared" si="10"/>
        <v>-6277614</v>
      </c>
      <c r="Y13" s="62">
        <f t="shared" si="11"/>
        <v>-6.759781217717987</v>
      </c>
      <c r="Z13" s="63">
        <v>75423887.5</v>
      </c>
      <c r="AA13" s="63">
        <v>9450155</v>
      </c>
      <c r="AB13" s="64">
        <f t="shared" si="12"/>
        <v>84874042.5</v>
      </c>
      <c r="AC13" s="63">
        <f t="shared" si="13"/>
        <v>-1715461.5</v>
      </c>
      <c r="AD13" s="62">
        <f t="shared" si="14"/>
        <v>-1.9811425412484174</v>
      </c>
      <c r="AE13" s="63">
        <v>95570975</v>
      </c>
      <c r="AF13" s="63">
        <v>8632029.04</v>
      </c>
      <c r="AG13" s="64">
        <f t="shared" si="15"/>
        <v>104203004.03999999</v>
      </c>
      <c r="AH13" s="63">
        <f t="shared" si="16"/>
        <v>19328961.53999999</v>
      </c>
      <c r="AI13" s="62">
        <f t="shared" si="17"/>
        <v>22.77370203027621</v>
      </c>
      <c r="AJ13" s="191"/>
    </row>
    <row r="14" spans="1:36" s="40" customFormat="1" ht="15.75">
      <c r="A14" s="57">
        <v>9</v>
      </c>
      <c r="B14" s="39" t="s">
        <v>4</v>
      </c>
      <c r="C14" s="59">
        <v>54143000</v>
      </c>
      <c r="D14" s="60">
        <v>3764619.63</v>
      </c>
      <c r="E14" s="61">
        <f t="shared" si="2"/>
        <v>57907619.63</v>
      </c>
      <c r="F14" s="59">
        <v>53841000</v>
      </c>
      <c r="G14" s="60">
        <v>3743594.45</v>
      </c>
      <c r="H14" s="61">
        <f t="shared" si="3"/>
        <v>57584594.45</v>
      </c>
      <c r="I14" s="59">
        <f t="shared" si="4"/>
        <v>-323025.1799999997</v>
      </c>
      <c r="J14" s="62">
        <f t="shared" si="0"/>
        <v>-0.5578284551566184</v>
      </c>
      <c r="K14" s="59">
        <v>65482250</v>
      </c>
      <c r="L14" s="60">
        <v>4017375</v>
      </c>
      <c r="M14" s="61">
        <f t="shared" si="5"/>
        <v>69499625</v>
      </c>
      <c r="N14" s="59">
        <f t="shared" si="6"/>
        <v>11915030.549999997</v>
      </c>
      <c r="O14" s="62">
        <f t="shared" si="1"/>
        <v>20.691350983370512</v>
      </c>
      <c r="P14" s="63">
        <v>61437250</v>
      </c>
      <c r="Q14" s="63">
        <v>5009026</v>
      </c>
      <c r="R14" s="64">
        <f t="shared" si="7"/>
        <v>66446276</v>
      </c>
      <c r="S14" s="63">
        <f t="shared" si="18"/>
        <v>-3053349</v>
      </c>
      <c r="T14" s="62">
        <f t="shared" si="8"/>
        <v>-4.393331618695784</v>
      </c>
      <c r="U14" s="63">
        <v>54441975</v>
      </c>
      <c r="V14" s="63">
        <v>5792112</v>
      </c>
      <c r="W14" s="64">
        <f t="shared" si="9"/>
        <v>60234087</v>
      </c>
      <c r="X14" s="63">
        <f t="shared" si="10"/>
        <v>-6212189</v>
      </c>
      <c r="Y14" s="62">
        <f t="shared" si="11"/>
        <v>-9.349190615287455</v>
      </c>
      <c r="Z14" s="63">
        <v>53325950</v>
      </c>
      <c r="AA14" s="63">
        <v>6234462</v>
      </c>
      <c r="AB14" s="64">
        <f t="shared" si="12"/>
        <v>59560412</v>
      </c>
      <c r="AC14" s="63">
        <f t="shared" si="13"/>
        <v>-673675</v>
      </c>
      <c r="AD14" s="62">
        <f t="shared" si="14"/>
        <v>-1.118428175063067</v>
      </c>
      <c r="AE14" s="63">
        <v>52808850</v>
      </c>
      <c r="AF14" s="63">
        <v>9939392</v>
      </c>
      <c r="AG14" s="64">
        <f t="shared" si="15"/>
        <v>62748242</v>
      </c>
      <c r="AH14" s="63">
        <f t="shared" si="16"/>
        <v>3187830</v>
      </c>
      <c r="AI14" s="62">
        <f t="shared" si="17"/>
        <v>5.352263177763109</v>
      </c>
      <c r="AJ14" s="191"/>
    </row>
    <row r="15" spans="1:36" s="40" customFormat="1" ht="15.75">
      <c r="A15" s="57">
        <v>10</v>
      </c>
      <c r="B15" s="39" t="s">
        <v>36</v>
      </c>
      <c r="C15" s="65">
        <v>0</v>
      </c>
      <c r="D15" s="60">
        <v>0</v>
      </c>
      <c r="E15" s="61">
        <f t="shared" si="2"/>
        <v>0</v>
      </c>
      <c r="F15" s="59">
        <v>0</v>
      </c>
      <c r="G15" s="60">
        <v>0</v>
      </c>
      <c r="H15" s="61">
        <f t="shared" si="3"/>
        <v>0</v>
      </c>
      <c r="I15" s="59">
        <f t="shared" si="4"/>
        <v>0</v>
      </c>
      <c r="J15" s="62" t="e">
        <f t="shared" si="0"/>
        <v>#DIV/0!</v>
      </c>
      <c r="K15" s="65">
        <v>3933250</v>
      </c>
      <c r="L15" s="60">
        <v>10000</v>
      </c>
      <c r="M15" s="61">
        <f t="shared" si="5"/>
        <v>3943250</v>
      </c>
      <c r="N15" s="59">
        <f t="shared" si="6"/>
        <v>3943250</v>
      </c>
      <c r="O15" s="62">
        <f t="shared" si="1"/>
        <v>100</v>
      </c>
      <c r="P15" s="63">
        <v>6351750</v>
      </c>
      <c r="Q15" s="63">
        <v>100000</v>
      </c>
      <c r="R15" s="64">
        <f t="shared" si="7"/>
        <v>6451750</v>
      </c>
      <c r="S15" s="63">
        <f t="shared" si="18"/>
        <v>2508500</v>
      </c>
      <c r="T15" s="62">
        <f t="shared" si="8"/>
        <v>63.615038356685474</v>
      </c>
      <c r="U15" s="63">
        <v>8836950</v>
      </c>
      <c r="V15" s="63">
        <v>164000</v>
      </c>
      <c r="W15" s="64">
        <f t="shared" si="9"/>
        <v>9000950</v>
      </c>
      <c r="X15" s="63">
        <f t="shared" si="10"/>
        <v>2549200</v>
      </c>
      <c r="Y15" s="62">
        <f t="shared" si="11"/>
        <v>39.51176037509203</v>
      </c>
      <c r="Z15" s="63">
        <v>10383850</v>
      </c>
      <c r="AA15" s="63">
        <v>311000</v>
      </c>
      <c r="AB15" s="64">
        <f t="shared" si="12"/>
        <v>10694850</v>
      </c>
      <c r="AC15" s="63">
        <f t="shared" si="13"/>
        <v>1693900</v>
      </c>
      <c r="AD15" s="62">
        <f t="shared" si="14"/>
        <v>18.819124647953828</v>
      </c>
      <c r="AE15" s="63">
        <v>11112800</v>
      </c>
      <c r="AF15" s="63">
        <v>803000</v>
      </c>
      <c r="AG15" s="64">
        <f t="shared" si="15"/>
        <v>11915800</v>
      </c>
      <c r="AH15" s="63">
        <f t="shared" si="16"/>
        <v>1220950</v>
      </c>
      <c r="AI15" s="62">
        <f t="shared" si="17"/>
        <v>11.416242397041566</v>
      </c>
      <c r="AJ15" s="191"/>
    </row>
    <row r="16" spans="1:36" s="40" customFormat="1" ht="15.75">
      <c r="A16" s="57">
        <v>11</v>
      </c>
      <c r="B16" s="39" t="s">
        <v>54</v>
      </c>
      <c r="C16" s="65">
        <v>0</v>
      </c>
      <c r="D16" s="60">
        <v>0</v>
      </c>
      <c r="E16" s="61">
        <f t="shared" si="2"/>
        <v>0</v>
      </c>
      <c r="F16" s="59">
        <v>0</v>
      </c>
      <c r="G16" s="60">
        <v>0</v>
      </c>
      <c r="H16" s="61">
        <f t="shared" si="3"/>
        <v>0</v>
      </c>
      <c r="I16" s="59">
        <f t="shared" si="4"/>
        <v>0</v>
      </c>
      <c r="J16" s="62" t="e">
        <f t="shared" si="0"/>
        <v>#DIV/0!</v>
      </c>
      <c r="K16" s="65">
        <v>3085250</v>
      </c>
      <c r="L16" s="60">
        <v>472585.71</v>
      </c>
      <c r="M16" s="61">
        <f t="shared" si="5"/>
        <v>3557835.71</v>
      </c>
      <c r="N16" s="59">
        <f t="shared" si="6"/>
        <v>3557835.71</v>
      </c>
      <c r="O16" s="62">
        <f t="shared" si="1"/>
        <v>100</v>
      </c>
      <c r="P16" s="63">
        <v>2689750</v>
      </c>
      <c r="Q16" s="63">
        <v>1404416.65</v>
      </c>
      <c r="R16" s="64">
        <f t="shared" si="7"/>
        <v>4094166.65</v>
      </c>
      <c r="S16" s="63">
        <f t="shared" si="18"/>
        <v>536330.94</v>
      </c>
      <c r="T16" s="62">
        <f t="shared" si="8"/>
        <v>15.074640419526284</v>
      </c>
      <c r="U16" s="63">
        <v>4176500</v>
      </c>
      <c r="V16" s="63">
        <v>522297</v>
      </c>
      <c r="W16" s="64">
        <f t="shared" si="9"/>
        <v>4698797</v>
      </c>
      <c r="X16" s="63">
        <f t="shared" si="10"/>
        <v>604630.3500000001</v>
      </c>
      <c r="Y16" s="62">
        <f t="shared" si="11"/>
        <v>14.768093282182349</v>
      </c>
      <c r="Z16" s="63">
        <v>4153400</v>
      </c>
      <c r="AA16" s="63">
        <v>2485560.95</v>
      </c>
      <c r="AB16" s="64">
        <f t="shared" si="12"/>
        <v>6638960.95</v>
      </c>
      <c r="AC16" s="63">
        <f t="shared" si="13"/>
        <v>1940163.9500000002</v>
      </c>
      <c r="AD16" s="62">
        <f t="shared" si="14"/>
        <v>41.290652692593454</v>
      </c>
      <c r="AE16" s="63">
        <v>4948550</v>
      </c>
      <c r="AF16" s="63">
        <v>3905734.04</v>
      </c>
      <c r="AG16" s="64">
        <f t="shared" si="15"/>
        <v>8854284.04</v>
      </c>
      <c r="AH16" s="63">
        <f t="shared" si="16"/>
        <v>2215323.089999999</v>
      </c>
      <c r="AI16" s="62">
        <f t="shared" si="17"/>
        <v>33.36852116896393</v>
      </c>
      <c r="AJ16" s="191"/>
    </row>
    <row r="17" spans="1:36" s="67" customFormat="1" ht="15.75">
      <c r="A17" s="57">
        <v>12</v>
      </c>
      <c r="B17" s="39" t="s">
        <v>8</v>
      </c>
      <c r="C17" s="59">
        <v>13447220</v>
      </c>
      <c r="D17" s="59">
        <v>8980425.32</v>
      </c>
      <c r="E17" s="69">
        <f t="shared" si="2"/>
        <v>22427645.32</v>
      </c>
      <c r="F17" s="59">
        <v>7025450</v>
      </c>
      <c r="G17" s="59">
        <v>5911929.44</v>
      </c>
      <c r="H17" s="69">
        <f t="shared" si="3"/>
        <v>12937379.440000001</v>
      </c>
      <c r="I17" s="59">
        <f t="shared" si="4"/>
        <v>-9490265.879999999</v>
      </c>
      <c r="J17" s="62">
        <f t="shared" si="0"/>
        <v>-42.31503461282666</v>
      </c>
      <c r="K17" s="59">
        <v>6477250</v>
      </c>
      <c r="L17" s="59">
        <v>7029257.8</v>
      </c>
      <c r="M17" s="69">
        <f t="shared" si="5"/>
        <v>13506507.8</v>
      </c>
      <c r="N17" s="59">
        <f t="shared" si="6"/>
        <v>569128.3599999994</v>
      </c>
      <c r="O17" s="62">
        <f t="shared" si="1"/>
        <v>4.399100781108414</v>
      </c>
      <c r="P17" s="66">
        <v>19945290</v>
      </c>
      <c r="Q17" s="66">
        <v>16609285.14</v>
      </c>
      <c r="R17" s="70">
        <f t="shared" si="7"/>
        <v>36554575.14</v>
      </c>
      <c r="S17" s="66">
        <f t="shared" si="18"/>
        <v>23048067.34</v>
      </c>
      <c r="T17" s="62">
        <f t="shared" si="8"/>
        <v>170.64416414137781</v>
      </c>
      <c r="U17" s="66">
        <v>28258234.75</v>
      </c>
      <c r="V17" s="66">
        <v>31850777.82</v>
      </c>
      <c r="W17" s="70">
        <f t="shared" si="9"/>
        <v>60109012.57</v>
      </c>
      <c r="X17" s="63">
        <f t="shared" si="10"/>
        <v>23554437.43</v>
      </c>
      <c r="Y17" s="62">
        <f t="shared" si="11"/>
        <v>64.43635944280325</v>
      </c>
      <c r="Z17" s="66">
        <v>22733166.55</v>
      </c>
      <c r="AA17" s="66">
        <v>20547867.08</v>
      </c>
      <c r="AB17" s="64">
        <f t="shared" si="12"/>
        <v>43281033.629999995</v>
      </c>
      <c r="AC17" s="63">
        <f t="shared" si="13"/>
        <v>-16827978.940000005</v>
      </c>
      <c r="AD17" s="62">
        <f t="shared" si="14"/>
        <v>-27.99576672533585</v>
      </c>
      <c r="AE17" s="63">
        <v>50829520.78</v>
      </c>
      <c r="AF17" s="63">
        <v>42621049.84</v>
      </c>
      <c r="AG17" s="64">
        <f t="shared" si="15"/>
        <v>93450570.62</v>
      </c>
      <c r="AH17" s="63">
        <f t="shared" si="16"/>
        <v>50169536.99000001</v>
      </c>
      <c r="AI17" s="62">
        <f t="shared" si="17"/>
        <v>115.91575519865886</v>
      </c>
      <c r="AJ17" s="191"/>
    </row>
    <row r="18" spans="1:36" s="40" customFormat="1" ht="15.75">
      <c r="A18" s="57">
        <v>13</v>
      </c>
      <c r="B18" s="39" t="s">
        <v>37</v>
      </c>
      <c r="C18" s="65">
        <v>0</v>
      </c>
      <c r="D18" s="60">
        <v>0</v>
      </c>
      <c r="E18" s="61">
        <f t="shared" si="2"/>
        <v>0</v>
      </c>
      <c r="F18" s="59">
        <v>0</v>
      </c>
      <c r="G18" s="60">
        <v>505540</v>
      </c>
      <c r="H18" s="61">
        <f t="shared" si="3"/>
        <v>505540</v>
      </c>
      <c r="I18" s="59">
        <f t="shared" si="4"/>
        <v>505540</v>
      </c>
      <c r="J18" s="62">
        <f t="shared" si="0"/>
        <v>100</v>
      </c>
      <c r="K18" s="59">
        <v>1835750</v>
      </c>
      <c r="L18" s="60">
        <v>114240</v>
      </c>
      <c r="M18" s="61">
        <f t="shared" si="5"/>
        <v>1949990</v>
      </c>
      <c r="N18" s="59">
        <f t="shared" si="6"/>
        <v>1444450</v>
      </c>
      <c r="O18" s="62">
        <f t="shared" si="1"/>
        <v>285.72417612849625</v>
      </c>
      <c r="P18" s="63">
        <v>3380000</v>
      </c>
      <c r="Q18" s="63">
        <v>45160</v>
      </c>
      <c r="R18" s="64">
        <f t="shared" si="7"/>
        <v>3425160</v>
      </c>
      <c r="S18" s="63">
        <f t="shared" si="18"/>
        <v>1475170</v>
      </c>
      <c r="T18" s="62">
        <f t="shared" si="8"/>
        <v>75.6501315391361</v>
      </c>
      <c r="U18" s="63">
        <v>3869750</v>
      </c>
      <c r="V18" s="63">
        <v>0</v>
      </c>
      <c r="W18" s="64">
        <f t="shared" si="9"/>
        <v>3869750</v>
      </c>
      <c r="X18" s="63">
        <f t="shared" si="10"/>
        <v>444590</v>
      </c>
      <c r="Y18" s="62">
        <f t="shared" si="11"/>
        <v>12.980123556271824</v>
      </c>
      <c r="Z18" s="63">
        <v>3515000</v>
      </c>
      <c r="AA18" s="63">
        <v>0</v>
      </c>
      <c r="AB18" s="64">
        <f t="shared" si="12"/>
        <v>3515000</v>
      </c>
      <c r="AC18" s="63">
        <f t="shared" si="13"/>
        <v>-354750</v>
      </c>
      <c r="AD18" s="62">
        <f t="shared" si="14"/>
        <v>-9.167258866851864</v>
      </c>
      <c r="AE18" s="63">
        <v>2244500</v>
      </c>
      <c r="AF18" s="63">
        <v>366582</v>
      </c>
      <c r="AG18" s="64">
        <f t="shared" si="15"/>
        <v>2611082</v>
      </c>
      <c r="AH18" s="63">
        <f t="shared" si="16"/>
        <v>-903918</v>
      </c>
      <c r="AI18" s="62">
        <f t="shared" si="17"/>
        <v>-25.71601706970128</v>
      </c>
      <c r="AJ18" s="191"/>
    </row>
    <row r="19" spans="1:36" s="40" customFormat="1" ht="15.75">
      <c r="A19" s="57">
        <v>14</v>
      </c>
      <c r="B19" s="39" t="s">
        <v>9</v>
      </c>
      <c r="C19" s="65">
        <v>600000</v>
      </c>
      <c r="D19" s="60">
        <v>0</v>
      </c>
      <c r="E19" s="61">
        <f t="shared" si="2"/>
        <v>600000</v>
      </c>
      <c r="F19" s="59">
        <v>300000</v>
      </c>
      <c r="G19" s="60">
        <v>0</v>
      </c>
      <c r="H19" s="61">
        <f t="shared" si="3"/>
        <v>300000</v>
      </c>
      <c r="I19" s="59">
        <f t="shared" si="4"/>
        <v>-300000</v>
      </c>
      <c r="J19" s="62">
        <f t="shared" si="0"/>
        <v>-50</v>
      </c>
      <c r="K19" s="65">
        <v>0</v>
      </c>
      <c r="L19" s="60">
        <v>484400</v>
      </c>
      <c r="M19" s="61">
        <f t="shared" si="5"/>
        <v>484400</v>
      </c>
      <c r="N19" s="59">
        <f t="shared" si="6"/>
        <v>184400</v>
      </c>
      <c r="O19" s="62">
        <f t="shared" si="1"/>
        <v>61.46666666666667</v>
      </c>
      <c r="P19" s="63">
        <v>0</v>
      </c>
      <c r="Q19" s="63">
        <v>0</v>
      </c>
      <c r="R19" s="64">
        <f t="shared" si="7"/>
        <v>0</v>
      </c>
      <c r="S19" s="63">
        <f t="shared" si="18"/>
        <v>-484400</v>
      </c>
      <c r="T19" s="62">
        <f t="shared" si="8"/>
        <v>-100</v>
      </c>
      <c r="U19" s="63">
        <v>0</v>
      </c>
      <c r="V19" s="63">
        <v>100000</v>
      </c>
      <c r="W19" s="64">
        <f t="shared" si="9"/>
        <v>100000</v>
      </c>
      <c r="X19" s="63">
        <f t="shared" si="10"/>
        <v>100000</v>
      </c>
      <c r="Y19" s="62">
        <f t="shared" si="11"/>
        <v>100</v>
      </c>
      <c r="Z19" s="63">
        <v>0</v>
      </c>
      <c r="AA19" s="63">
        <v>923450</v>
      </c>
      <c r="AB19" s="64">
        <f t="shared" si="12"/>
        <v>923450</v>
      </c>
      <c r="AC19" s="63">
        <f t="shared" si="13"/>
        <v>823450</v>
      </c>
      <c r="AD19" s="62">
        <f t="shared" si="14"/>
        <v>823.45</v>
      </c>
      <c r="AE19" s="63">
        <v>0</v>
      </c>
      <c r="AF19" s="63">
        <v>0</v>
      </c>
      <c r="AG19" s="64">
        <f t="shared" si="15"/>
        <v>0</v>
      </c>
      <c r="AH19" s="63">
        <f t="shared" si="16"/>
        <v>-923450</v>
      </c>
      <c r="AI19" s="62">
        <f t="shared" si="17"/>
        <v>-100</v>
      </c>
      <c r="AJ19" s="191"/>
    </row>
    <row r="20" spans="1:36" s="67" customFormat="1" ht="15.75">
      <c r="A20" s="68">
        <v>15</v>
      </c>
      <c r="B20" s="58" t="s">
        <v>16</v>
      </c>
      <c r="C20" s="65">
        <v>0</v>
      </c>
      <c r="D20" s="59">
        <v>545388.73</v>
      </c>
      <c r="E20" s="69">
        <f t="shared" si="2"/>
        <v>545388.73</v>
      </c>
      <c r="F20" s="59">
        <v>0</v>
      </c>
      <c r="G20" s="59">
        <v>478297.64</v>
      </c>
      <c r="H20" s="69">
        <f t="shared" si="3"/>
        <v>478297.64</v>
      </c>
      <c r="I20" s="59">
        <f t="shared" si="4"/>
        <v>-67091.08999999997</v>
      </c>
      <c r="J20" s="62">
        <f t="shared" si="0"/>
        <v>-12.301517488269324</v>
      </c>
      <c r="K20" s="65">
        <v>0</v>
      </c>
      <c r="L20" s="59">
        <v>1796357.9200000002</v>
      </c>
      <c r="M20" s="69">
        <f t="shared" si="5"/>
        <v>1796357.9200000002</v>
      </c>
      <c r="N20" s="59">
        <f t="shared" si="6"/>
        <v>1318060.2800000003</v>
      </c>
      <c r="O20" s="62">
        <f t="shared" si="1"/>
        <v>275.57323510941853</v>
      </c>
      <c r="P20" s="66">
        <v>0</v>
      </c>
      <c r="Q20" s="66">
        <v>0</v>
      </c>
      <c r="R20" s="70">
        <f t="shared" si="7"/>
        <v>0</v>
      </c>
      <c r="S20" s="66">
        <f t="shared" si="18"/>
        <v>-1796357.9200000002</v>
      </c>
      <c r="T20" s="62">
        <f t="shared" si="8"/>
        <v>-100.00000000000001</v>
      </c>
      <c r="U20" s="66">
        <v>0</v>
      </c>
      <c r="V20" s="66"/>
      <c r="W20" s="64">
        <f t="shared" si="9"/>
        <v>0</v>
      </c>
      <c r="X20" s="63">
        <f t="shared" si="10"/>
        <v>0</v>
      </c>
      <c r="Y20" s="62" t="e">
        <f t="shared" si="11"/>
        <v>#DIV/0!</v>
      </c>
      <c r="Z20" s="66">
        <v>0</v>
      </c>
      <c r="AA20" s="66">
        <v>467024.28</v>
      </c>
      <c r="AB20" s="64">
        <f t="shared" si="12"/>
        <v>467024.28</v>
      </c>
      <c r="AC20" s="63">
        <f t="shared" si="13"/>
        <v>467024.28</v>
      </c>
      <c r="AD20" s="62">
        <f t="shared" si="14"/>
        <v>100</v>
      </c>
      <c r="AE20" s="63"/>
      <c r="AF20" s="63"/>
      <c r="AG20" s="64">
        <f t="shared" si="15"/>
        <v>0</v>
      </c>
      <c r="AH20" s="63">
        <f t="shared" si="16"/>
        <v>-467024.28</v>
      </c>
      <c r="AI20" s="62">
        <f t="shared" si="17"/>
        <v>-100</v>
      </c>
      <c r="AJ20" s="191"/>
    </row>
    <row r="21" spans="1:36" s="40" customFormat="1" ht="15.75">
      <c r="A21" s="57">
        <v>16</v>
      </c>
      <c r="B21" s="39" t="s">
        <v>14</v>
      </c>
      <c r="C21" s="65">
        <v>0</v>
      </c>
      <c r="D21" s="60">
        <v>1508512.49</v>
      </c>
      <c r="E21" s="61">
        <f t="shared" si="2"/>
        <v>1508512.49</v>
      </c>
      <c r="F21" s="59">
        <v>0</v>
      </c>
      <c r="G21" s="60">
        <v>1532755.66</v>
      </c>
      <c r="H21" s="61">
        <f t="shared" si="3"/>
        <v>1532755.66</v>
      </c>
      <c r="I21" s="59">
        <f t="shared" si="4"/>
        <v>24243.169999999925</v>
      </c>
      <c r="J21" s="62">
        <f t="shared" si="0"/>
        <v>1.607091102043174</v>
      </c>
      <c r="K21" s="65">
        <v>0</v>
      </c>
      <c r="L21" s="60">
        <v>1223148.73</v>
      </c>
      <c r="M21" s="61">
        <f t="shared" si="5"/>
        <v>1223148.73</v>
      </c>
      <c r="N21" s="59">
        <f t="shared" si="6"/>
        <v>-309606.92999999993</v>
      </c>
      <c r="O21" s="62">
        <f t="shared" si="1"/>
        <v>-20.199366283860268</v>
      </c>
      <c r="P21" s="63">
        <v>0</v>
      </c>
      <c r="Q21" s="63">
        <v>1232800.49</v>
      </c>
      <c r="R21" s="64">
        <f t="shared" si="7"/>
        <v>1232800.49</v>
      </c>
      <c r="S21" s="63">
        <f t="shared" si="18"/>
        <v>9651.76000000001</v>
      </c>
      <c r="T21" s="62">
        <f t="shared" si="8"/>
        <v>0.789091282464072</v>
      </c>
      <c r="U21" s="63">
        <v>0</v>
      </c>
      <c r="V21" s="63">
        <v>727985.39</v>
      </c>
      <c r="W21" s="64">
        <f t="shared" si="9"/>
        <v>727985.39</v>
      </c>
      <c r="X21" s="63">
        <f t="shared" si="10"/>
        <v>-504815.1</v>
      </c>
      <c r="Y21" s="62">
        <f t="shared" si="11"/>
        <v>-40.948645307563105</v>
      </c>
      <c r="Z21" s="63">
        <v>0</v>
      </c>
      <c r="AA21" s="63">
        <v>10135827.3</v>
      </c>
      <c r="AB21" s="64">
        <f t="shared" si="12"/>
        <v>10135827.3</v>
      </c>
      <c r="AC21" s="63">
        <f t="shared" si="13"/>
        <v>9407841.91</v>
      </c>
      <c r="AD21" s="62">
        <f t="shared" si="14"/>
        <v>1292.3119116442708</v>
      </c>
      <c r="AE21" s="63">
        <v>0</v>
      </c>
      <c r="AF21" s="63">
        <v>1249710.88</v>
      </c>
      <c r="AG21" s="64">
        <f t="shared" si="15"/>
        <v>1249710.88</v>
      </c>
      <c r="AH21" s="63">
        <f t="shared" si="16"/>
        <v>-8886116.420000002</v>
      </c>
      <c r="AI21" s="62">
        <f t="shared" si="17"/>
        <v>-87.67036135274327</v>
      </c>
      <c r="AJ21" s="191"/>
    </row>
    <row r="22" spans="1:36" s="40" customFormat="1" ht="15.75">
      <c r="A22" s="57">
        <v>17</v>
      </c>
      <c r="B22" s="39" t="s">
        <v>15</v>
      </c>
      <c r="C22" s="65">
        <v>0</v>
      </c>
      <c r="D22" s="60">
        <v>1361521</v>
      </c>
      <c r="E22" s="61">
        <f t="shared" si="2"/>
        <v>1361521</v>
      </c>
      <c r="F22" s="59">
        <v>0</v>
      </c>
      <c r="G22" s="60">
        <v>3087991</v>
      </c>
      <c r="H22" s="61">
        <f t="shared" si="3"/>
        <v>3087991</v>
      </c>
      <c r="I22" s="59">
        <f t="shared" si="4"/>
        <v>1726470</v>
      </c>
      <c r="J22" s="62">
        <f t="shared" si="0"/>
        <v>126.804507605832</v>
      </c>
      <c r="K22" s="65">
        <v>0</v>
      </c>
      <c r="L22" s="60">
        <v>1386167.69</v>
      </c>
      <c r="M22" s="61">
        <f t="shared" si="5"/>
        <v>1386167.69</v>
      </c>
      <c r="N22" s="59">
        <f t="shared" si="6"/>
        <v>-1701823.31</v>
      </c>
      <c r="O22" s="62">
        <f t="shared" si="1"/>
        <v>-55.11101910594947</v>
      </c>
      <c r="P22" s="63">
        <v>0</v>
      </c>
      <c r="Q22" s="63">
        <v>5262161.5</v>
      </c>
      <c r="R22" s="64">
        <f t="shared" si="7"/>
        <v>5262161.5</v>
      </c>
      <c r="S22" s="63">
        <f t="shared" si="18"/>
        <v>3875993.81</v>
      </c>
      <c r="T22" s="62">
        <f t="shared" si="8"/>
        <v>279.61940232498137</v>
      </c>
      <c r="U22" s="63">
        <v>0</v>
      </c>
      <c r="V22" s="63">
        <v>3854290</v>
      </c>
      <c r="W22" s="64">
        <f t="shared" si="9"/>
        <v>3854290</v>
      </c>
      <c r="X22" s="63">
        <f t="shared" si="10"/>
        <v>-1407871.5</v>
      </c>
      <c r="Y22" s="62">
        <f t="shared" si="11"/>
        <v>-26.754623551557664</v>
      </c>
      <c r="Z22" s="63">
        <v>0</v>
      </c>
      <c r="AA22" s="63">
        <v>0</v>
      </c>
      <c r="AB22" s="64">
        <f t="shared" si="12"/>
        <v>0</v>
      </c>
      <c r="AC22" s="63">
        <f t="shared" si="13"/>
        <v>-3854290</v>
      </c>
      <c r="AD22" s="62">
        <f t="shared" si="14"/>
        <v>-100</v>
      </c>
      <c r="AE22" s="63">
        <v>0</v>
      </c>
      <c r="AF22" s="63">
        <v>5448261.98</v>
      </c>
      <c r="AG22" s="64">
        <f t="shared" si="15"/>
        <v>5448261.98</v>
      </c>
      <c r="AH22" s="63">
        <f t="shared" si="16"/>
        <v>5448261.98</v>
      </c>
      <c r="AI22" s="62">
        <f t="shared" si="17"/>
        <v>99.99999999999999</v>
      </c>
      <c r="AJ22" s="191"/>
    </row>
    <row r="23" spans="1:36" s="40" customFormat="1" ht="15.75">
      <c r="A23" s="57">
        <v>18</v>
      </c>
      <c r="B23" s="58" t="s">
        <v>17</v>
      </c>
      <c r="C23" s="65">
        <v>0</v>
      </c>
      <c r="D23" s="60">
        <v>199500</v>
      </c>
      <c r="E23" s="61">
        <f t="shared" si="2"/>
        <v>199500</v>
      </c>
      <c r="F23" s="59">
        <v>0</v>
      </c>
      <c r="G23" s="60">
        <v>57000</v>
      </c>
      <c r="H23" s="61">
        <f t="shared" si="3"/>
        <v>57000</v>
      </c>
      <c r="I23" s="59">
        <f t="shared" si="4"/>
        <v>-142500</v>
      </c>
      <c r="J23" s="62">
        <f t="shared" si="0"/>
        <v>-71.42857142857143</v>
      </c>
      <c r="K23" s="65">
        <v>0</v>
      </c>
      <c r="L23" s="60">
        <v>0</v>
      </c>
      <c r="M23" s="61">
        <f t="shared" si="5"/>
        <v>0</v>
      </c>
      <c r="N23" s="59">
        <f t="shared" si="6"/>
        <v>-57000</v>
      </c>
      <c r="O23" s="62">
        <f t="shared" si="1"/>
        <v>-100</v>
      </c>
      <c r="P23" s="63">
        <v>0</v>
      </c>
      <c r="Q23" s="63">
        <v>230000</v>
      </c>
      <c r="R23" s="64">
        <f t="shared" si="7"/>
        <v>230000</v>
      </c>
      <c r="S23" s="63">
        <f t="shared" si="18"/>
        <v>230000</v>
      </c>
      <c r="T23" s="62">
        <f t="shared" si="8"/>
        <v>100</v>
      </c>
      <c r="U23" s="63">
        <v>0</v>
      </c>
      <c r="V23" s="63">
        <v>0</v>
      </c>
      <c r="W23" s="64">
        <f t="shared" si="9"/>
        <v>0</v>
      </c>
      <c r="X23" s="63">
        <f t="shared" si="10"/>
        <v>-230000</v>
      </c>
      <c r="Y23" s="62">
        <f t="shared" si="11"/>
        <v>-100</v>
      </c>
      <c r="Z23" s="63">
        <v>0</v>
      </c>
      <c r="AA23" s="63">
        <v>1009650</v>
      </c>
      <c r="AB23" s="64">
        <f t="shared" si="12"/>
        <v>1009650</v>
      </c>
      <c r="AC23" s="63">
        <f t="shared" si="13"/>
        <v>1009650</v>
      </c>
      <c r="AD23" s="62">
        <f t="shared" si="14"/>
        <v>100</v>
      </c>
      <c r="AE23" s="63">
        <v>0</v>
      </c>
      <c r="AF23" s="63">
        <v>500000</v>
      </c>
      <c r="AG23" s="64">
        <f t="shared" si="15"/>
        <v>500000</v>
      </c>
      <c r="AH23" s="63">
        <f t="shared" si="16"/>
        <v>-509650</v>
      </c>
      <c r="AI23" s="62">
        <f t="shared" si="17"/>
        <v>-50.477888377160404</v>
      </c>
      <c r="AJ23" s="191"/>
    </row>
    <row r="24" spans="1:36" s="40" customFormat="1" ht="15.75">
      <c r="A24" s="57">
        <v>19</v>
      </c>
      <c r="B24" s="39" t="s">
        <v>11</v>
      </c>
      <c r="C24" s="65">
        <v>0</v>
      </c>
      <c r="D24" s="60">
        <v>223210.5</v>
      </c>
      <c r="E24" s="61">
        <f t="shared" si="2"/>
        <v>223210.5</v>
      </c>
      <c r="F24" s="59">
        <v>0</v>
      </c>
      <c r="G24" s="60">
        <v>248380</v>
      </c>
      <c r="H24" s="61">
        <f t="shared" si="3"/>
        <v>248380</v>
      </c>
      <c r="I24" s="59">
        <f t="shared" si="4"/>
        <v>25169.5</v>
      </c>
      <c r="J24" s="62">
        <f t="shared" si="0"/>
        <v>11.276127243118044</v>
      </c>
      <c r="K24" s="65">
        <v>0</v>
      </c>
      <c r="L24" s="60">
        <v>52900</v>
      </c>
      <c r="M24" s="61">
        <f t="shared" si="5"/>
        <v>52900</v>
      </c>
      <c r="N24" s="59">
        <f t="shared" si="6"/>
        <v>-195480</v>
      </c>
      <c r="O24" s="62">
        <f t="shared" si="1"/>
        <v>-78.7019888879942</v>
      </c>
      <c r="P24" s="63">
        <v>0</v>
      </c>
      <c r="Q24" s="63">
        <v>507950</v>
      </c>
      <c r="R24" s="64">
        <f t="shared" si="7"/>
        <v>507950</v>
      </c>
      <c r="S24" s="63">
        <f t="shared" si="18"/>
        <v>455050</v>
      </c>
      <c r="T24" s="62">
        <f t="shared" si="8"/>
        <v>860.2079395085066</v>
      </c>
      <c r="U24" s="63">
        <v>0</v>
      </c>
      <c r="V24" s="63">
        <v>497215</v>
      </c>
      <c r="W24" s="64">
        <f t="shared" si="9"/>
        <v>497215</v>
      </c>
      <c r="X24" s="63">
        <f t="shared" si="10"/>
        <v>-10735</v>
      </c>
      <c r="Y24" s="62">
        <f t="shared" si="11"/>
        <v>-2.113396987892509</v>
      </c>
      <c r="Z24" s="63">
        <v>0</v>
      </c>
      <c r="AA24" s="63">
        <v>33000</v>
      </c>
      <c r="AB24" s="64">
        <f t="shared" si="12"/>
        <v>33000</v>
      </c>
      <c r="AC24" s="63">
        <f t="shared" si="13"/>
        <v>-464215</v>
      </c>
      <c r="AD24" s="62">
        <f t="shared" si="14"/>
        <v>-93.36303208873424</v>
      </c>
      <c r="AE24" s="63">
        <v>0</v>
      </c>
      <c r="AF24" s="63">
        <v>3664340</v>
      </c>
      <c r="AG24" s="64">
        <f t="shared" si="15"/>
        <v>3664340</v>
      </c>
      <c r="AH24" s="63">
        <f t="shared" si="16"/>
        <v>3631340</v>
      </c>
      <c r="AI24" s="62">
        <f t="shared" si="17"/>
        <v>11004.060606060606</v>
      </c>
      <c r="AJ24" s="191"/>
    </row>
    <row r="25" spans="1:36" s="40" customFormat="1" ht="15.75">
      <c r="A25" s="57">
        <v>20</v>
      </c>
      <c r="B25" s="39" t="s">
        <v>13</v>
      </c>
      <c r="C25" s="65">
        <v>0</v>
      </c>
      <c r="D25" s="60">
        <v>70150</v>
      </c>
      <c r="E25" s="61">
        <f t="shared" si="2"/>
        <v>70150</v>
      </c>
      <c r="F25" s="59">
        <v>0</v>
      </c>
      <c r="G25" s="60">
        <v>77400</v>
      </c>
      <c r="H25" s="61">
        <f t="shared" si="3"/>
        <v>77400</v>
      </c>
      <c r="I25" s="59">
        <f t="shared" si="4"/>
        <v>7250</v>
      </c>
      <c r="J25" s="62">
        <f t="shared" si="0"/>
        <v>10.334996436208126</v>
      </c>
      <c r="K25" s="65">
        <v>0</v>
      </c>
      <c r="L25" s="60">
        <v>121600</v>
      </c>
      <c r="M25" s="61">
        <f t="shared" si="5"/>
        <v>121600</v>
      </c>
      <c r="N25" s="59">
        <f t="shared" si="6"/>
        <v>44200</v>
      </c>
      <c r="O25" s="62">
        <f t="shared" si="1"/>
        <v>57.10594315245478</v>
      </c>
      <c r="P25" s="63">
        <v>0</v>
      </c>
      <c r="Q25" s="63">
        <v>58500</v>
      </c>
      <c r="R25" s="64">
        <f t="shared" si="7"/>
        <v>58500</v>
      </c>
      <c r="S25" s="63">
        <f t="shared" si="18"/>
        <v>-63100</v>
      </c>
      <c r="T25" s="62">
        <f t="shared" si="8"/>
        <v>-51.891447368421055</v>
      </c>
      <c r="U25" s="63">
        <v>0</v>
      </c>
      <c r="V25" s="63">
        <v>45500</v>
      </c>
      <c r="W25" s="64">
        <f t="shared" si="9"/>
        <v>45500</v>
      </c>
      <c r="X25" s="63">
        <f t="shared" si="10"/>
        <v>-13000</v>
      </c>
      <c r="Y25" s="62">
        <f t="shared" si="11"/>
        <v>-22.22222222222222</v>
      </c>
      <c r="Z25" s="63">
        <v>0</v>
      </c>
      <c r="AA25" s="63">
        <v>1000</v>
      </c>
      <c r="AB25" s="64">
        <f t="shared" si="12"/>
        <v>1000</v>
      </c>
      <c r="AC25" s="63">
        <f t="shared" si="13"/>
        <v>-44500</v>
      </c>
      <c r="AD25" s="62">
        <f t="shared" si="14"/>
        <v>-97.8021978021978</v>
      </c>
      <c r="AE25" s="63">
        <v>0</v>
      </c>
      <c r="AF25" s="63">
        <v>179700</v>
      </c>
      <c r="AG25" s="64">
        <f t="shared" si="15"/>
        <v>179700</v>
      </c>
      <c r="AH25" s="63">
        <f t="shared" si="16"/>
        <v>178700</v>
      </c>
      <c r="AI25" s="62">
        <f t="shared" si="17"/>
        <v>17870</v>
      </c>
      <c r="AJ25" s="191"/>
    </row>
    <row r="26" spans="1:36" s="40" customFormat="1" ht="15.75">
      <c r="A26" s="57">
        <v>21</v>
      </c>
      <c r="B26" s="39" t="s">
        <v>10</v>
      </c>
      <c r="C26" s="65">
        <v>0</v>
      </c>
      <c r="D26" s="60">
        <v>107810.36</v>
      </c>
      <c r="E26" s="61">
        <f t="shared" si="2"/>
        <v>107810.36</v>
      </c>
      <c r="F26" s="59">
        <v>0</v>
      </c>
      <c r="G26" s="60">
        <v>134454.63</v>
      </c>
      <c r="H26" s="61">
        <f t="shared" si="3"/>
        <v>134454.63</v>
      </c>
      <c r="I26" s="59">
        <f t="shared" si="4"/>
        <v>26644.270000000004</v>
      </c>
      <c r="J26" s="62">
        <f t="shared" si="0"/>
        <v>24.714016352417342</v>
      </c>
      <c r="K26" s="65">
        <v>0</v>
      </c>
      <c r="L26" s="60">
        <v>141299.16999999998</v>
      </c>
      <c r="M26" s="61">
        <f t="shared" si="5"/>
        <v>141299.16999999998</v>
      </c>
      <c r="N26" s="59">
        <f t="shared" si="6"/>
        <v>6844.539999999979</v>
      </c>
      <c r="O26" s="62">
        <f t="shared" si="1"/>
        <v>5.090594500167066</v>
      </c>
      <c r="P26" s="63">
        <v>0</v>
      </c>
      <c r="Q26" s="63">
        <v>1649846.57</v>
      </c>
      <c r="R26" s="64">
        <f t="shared" si="7"/>
        <v>1649846.57</v>
      </c>
      <c r="S26" s="63">
        <f t="shared" si="18"/>
        <v>1508547.4000000001</v>
      </c>
      <c r="T26" s="62">
        <f t="shared" si="8"/>
        <v>1067.6265118896313</v>
      </c>
      <c r="U26" s="63">
        <v>0</v>
      </c>
      <c r="V26" s="63">
        <v>50000</v>
      </c>
      <c r="W26" s="64">
        <f t="shared" si="9"/>
        <v>50000</v>
      </c>
      <c r="X26" s="63">
        <f t="shared" si="10"/>
        <v>-1599846.57</v>
      </c>
      <c r="Y26" s="62">
        <f t="shared" si="11"/>
        <v>-96.9694151620414</v>
      </c>
      <c r="Z26" s="63">
        <v>0</v>
      </c>
      <c r="AA26" s="63">
        <v>0</v>
      </c>
      <c r="AB26" s="64">
        <f t="shared" si="12"/>
        <v>0</v>
      </c>
      <c r="AC26" s="63">
        <f t="shared" si="13"/>
        <v>-50000</v>
      </c>
      <c r="AD26" s="62">
        <f t="shared" si="14"/>
        <v>-100</v>
      </c>
      <c r="AE26" s="63">
        <v>0</v>
      </c>
      <c r="AF26" s="63">
        <v>1000</v>
      </c>
      <c r="AG26" s="64">
        <f t="shared" si="15"/>
        <v>1000</v>
      </c>
      <c r="AH26" s="63">
        <f t="shared" si="16"/>
        <v>1000</v>
      </c>
      <c r="AI26" s="62">
        <f t="shared" si="17"/>
        <v>100</v>
      </c>
      <c r="AJ26" s="191"/>
    </row>
    <row r="27" spans="1:36" s="40" customFormat="1" ht="15.75">
      <c r="A27" s="57">
        <v>22</v>
      </c>
      <c r="B27" s="58" t="s">
        <v>12</v>
      </c>
      <c r="C27" s="65">
        <v>0</v>
      </c>
      <c r="D27" s="60">
        <v>18500</v>
      </c>
      <c r="E27" s="61">
        <f t="shared" si="2"/>
        <v>18500</v>
      </c>
      <c r="F27" s="59">
        <v>0</v>
      </c>
      <c r="G27" s="60">
        <v>43000</v>
      </c>
      <c r="H27" s="61">
        <f t="shared" si="3"/>
        <v>43000</v>
      </c>
      <c r="I27" s="59">
        <f t="shared" si="4"/>
        <v>24500</v>
      </c>
      <c r="J27" s="62">
        <f t="shared" si="0"/>
        <v>132.43243243243242</v>
      </c>
      <c r="K27" s="65">
        <v>0</v>
      </c>
      <c r="L27" s="60">
        <v>30000</v>
      </c>
      <c r="M27" s="61">
        <f t="shared" si="5"/>
        <v>30000</v>
      </c>
      <c r="N27" s="59">
        <f t="shared" si="6"/>
        <v>-13000</v>
      </c>
      <c r="O27" s="62">
        <f t="shared" si="1"/>
        <v>-30.232558139534884</v>
      </c>
      <c r="P27" s="63">
        <v>0</v>
      </c>
      <c r="Q27" s="63">
        <v>0</v>
      </c>
      <c r="R27" s="64">
        <f t="shared" si="7"/>
        <v>0</v>
      </c>
      <c r="S27" s="63">
        <f t="shared" si="18"/>
        <v>-30000</v>
      </c>
      <c r="T27" s="62">
        <f t="shared" si="8"/>
        <v>-100</v>
      </c>
      <c r="U27" s="63">
        <v>0</v>
      </c>
      <c r="V27" s="63">
        <v>0</v>
      </c>
      <c r="W27" s="64">
        <f t="shared" si="9"/>
        <v>0</v>
      </c>
      <c r="X27" s="63">
        <f t="shared" si="10"/>
        <v>0</v>
      </c>
      <c r="Y27" s="62" t="e">
        <f t="shared" si="11"/>
        <v>#DIV/0!</v>
      </c>
      <c r="Z27" s="63">
        <v>0</v>
      </c>
      <c r="AA27" s="63">
        <v>0</v>
      </c>
      <c r="AB27" s="64">
        <f t="shared" si="12"/>
        <v>0</v>
      </c>
      <c r="AC27" s="63">
        <f t="shared" si="13"/>
        <v>0</v>
      </c>
      <c r="AD27" s="62" t="e">
        <f t="shared" si="14"/>
        <v>#DIV/0!</v>
      </c>
      <c r="AE27" s="63">
        <v>0</v>
      </c>
      <c r="AF27" s="63">
        <v>0</v>
      </c>
      <c r="AG27" s="64">
        <f t="shared" si="15"/>
        <v>0</v>
      </c>
      <c r="AH27" s="63">
        <f t="shared" si="16"/>
        <v>0</v>
      </c>
      <c r="AI27" s="62" t="e">
        <f t="shared" si="17"/>
        <v>#DIV/0!</v>
      </c>
      <c r="AJ27" s="191"/>
    </row>
    <row r="28" spans="1:36" s="40" customFormat="1" ht="15.75">
      <c r="A28" s="57">
        <v>23</v>
      </c>
      <c r="B28" s="39" t="s">
        <v>25</v>
      </c>
      <c r="C28" s="65">
        <v>0</v>
      </c>
      <c r="D28" s="60">
        <v>6504446.55</v>
      </c>
      <c r="E28" s="61">
        <f t="shared" si="2"/>
        <v>6504446.55</v>
      </c>
      <c r="F28" s="59">
        <v>0</v>
      </c>
      <c r="G28" s="60">
        <v>-424021.15</v>
      </c>
      <c r="H28" s="61">
        <f t="shared" si="3"/>
        <v>-424021.15</v>
      </c>
      <c r="I28" s="59">
        <f t="shared" si="4"/>
        <v>-6928467.7</v>
      </c>
      <c r="J28" s="62">
        <f t="shared" si="0"/>
        <v>-106.5189427992148</v>
      </c>
      <c r="K28" s="65">
        <v>0</v>
      </c>
      <c r="L28" s="60">
        <v>0</v>
      </c>
      <c r="M28" s="61">
        <f t="shared" si="5"/>
        <v>0</v>
      </c>
      <c r="N28" s="59">
        <f t="shared" si="6"/>
        <v>424021.15</v>
      </c>
      <c r="O28" s="62">
        <f t="shared" si="1"/>
        <v>-100</v>
      </c>
      <c r="P28" s="63">
        <v>0</v>
      </c>
      <c r="Q28" s="63">
        <v>0</v>
      </c>
      <c r="R28" s="64">
        <f t="shared" si="7"/>
        <v>0</v>
      </c>
      <c r="S28" s="63">
        <f t="shared" si="18"/>
        <v>0</v>
      </c>
      <c r="T28" s="62" t="e">
        <f t="shared" si="8"/>
        <v>#DIV/0!</v>
      </c>
      <c r="U28" s="63">
        <v>0</v>
      </c>
      <c r="V28" s="63">
        <v>0</v>
      </c>
      <c r="W28" s="64">
        <f t="shared" si="9"/>
        <v>0</v>
      </c>
      <c r="X28" s="63">
        <f t="shared" si="10"/>
        <v>0</v>
      </c>
      <c r="Y28" s="62" t="e">
        <f t="shared" si="11"/>
        <v>#DIV/0!</v>
      </c>
      <c r="Z28" s="63">
        <v>0</v>
      </c>
      <c r="AA28" s="63">
        <v>0</v>
      </c>
      <c r="AB28" s="64">
        <f t="shared" si="12"/>
        <v>0</v>
      </c>
      <c r="AC28" s="63">
        <f t="shared" si="13"/>
        <v>0</v>
      </c>
      <c r="AD28" s="62" t="e">
        <f t="shared" si="14"/>
        <v>#DIV/0!</v>
      </c>
      <c r="AE28" s="63"/>
      <c r="AF28" s="63"/>
      <c r="AG28" s="64">
        <f t="shared" si="15"/>
        <v>0</v>
      </c>
      <c r="AH28" s="63">
        <f t="shared" si="16"/>
        <v>0</v>
      </c>
      <c r="AI28" s="62" t="e">
        <f t="shared" si="17"/>
        <v>#DIV/0!</v>
      </c>
      <c r="AJ28" s="191"/>
    </row>
    <row r="29" spans="1:36" s="40" customFormat="1" ht="15.75">
      <c r="A29" s="57">
        <v>24</v>
      </c>
      <c r="B29" s="39" t="s">
        <v>26</v>
      </c>
      <c r="C29" s="65">
        <v>0</v>
      </c>
      <c r="D29" s="60">
        <v>403491.92</v>
      </c>
      <c r="E29" s="61">
        <f t="shared" si="2"/>
        <v>403491.92</v>
      </c>
      <c r="F29" s="59">
        <v>0</v>
      </c>
      <c r="G29" s="60">
        <v>378386.96</v>
      </c>
      <c r="H29" s="61">
        <f t="shared" si="3"/>
        <v>378386.96</v>
      </c>
      <c r="I29" s="59">
        <f t="shared" si="4"/>
        <v>-25104.959999999963</v>
      </c>
      <c r="J29" s="62">
        <f t="shared" si="0"/>
        <v>-6.221923849181407</v>
      </c>
      <c r="K29" s="65">
        <v>0</v>
      </c>
      <c r="L29" s="60">
        <v>0</v>
      </c>
      <c r="M29" s="61">
        <f t="shared" si="5"/>
        <v>0</v>
      </c>
      <c r="N29" s="59">
        <f t="shared" si="6"/>
        <v>-378386.96</v>
      </c>
      <c r="O29" s="62">
        <f t="shared" si="1"/>
        <v>-100</v>
      </c>
      <c r="P29" s="63">
        <v>0</v>
      </c>
      <c r="Q29" s="63">
        <v>0</v>
      </c>
      <c r="R29" s="64">
        <f t="shared" si="7"/>
        <v>0</v>
      </c>
      <c r="S29" s="63">
        <f t="shared" si="18"/>
        <v>0</v>
      </c>
      <c r="T29" s="62" t="e">
        <f t="shared" si="8"/>
        <v>#DIV/0!</v>
      </c>
      <c r="U29" s="63">
        <v>0</v>
      </c>
      <c r="V29" s="63">
        <v>0</v>
      </c>
      <c r="W29" s="64">
        <f t="shared" si="9"/>
        <v>0</v>
      </c>
      <c r="X29" s="63">
        <f t="shared" si="10"/>
        <v>0</v>
      </c>
      <c r="Y29" s="62" t="e">
        <f t="shared" si="11"/>
        <v>#DIV/0!</v>
      </c>
      <c r="Z29" s="63">
        <v>0</v>
      </c>
      <c r="AA29" s="63">
        <v>0</v>
      </c>
      <c r="AB29" s="64">
        <f t="shared" si="12"/>
        <v>0</v>
      </c>
      <c r="AC29" s="63">
        <f t="shared" si="13"/>
        <v>0</v>
      </c>
      <c r="AD29" s="62" t="e">
        <f t="shared" si="14"/>
        <v>#DIV/0!</v>
      </c>
      <c r="AE29" s="63"/>
      <c r="AF29" s="63"/>
      <c r="AG29" s="64">
        <f t="shared" si="15"/>
        <v>0</v>
      </c>
      <c r="AH29" s="63">
        <f t="shared" si="16"/>
        <v>0</v>
      </c>
      <c r="AI29" s="62" t="e">
        <f t="shared" si="17"/>
        <v>#DIV/0!</v>
      </c>
      <c r="AJ29" s="191"/>
    </row>
    <row r="30" spans="1:36" s="40" customFormat="1" ht="15.75">
      <c r="A30" s="57">
        <v>25</v>
      </c>
      <c r="B30" s="39" t="s">
        <v>27</v>
      </c>
      <c r="C30" s="65">
        <v>0</v>
      </c>
      <c r="D30" s="60">
        <v>1679796.25</v>
      </c>
      <c r="E30" s="61">
        <f t="shared" si="2"/>
        <v>1679796.25</v>
      </c>
      <c r="F30" s="59">
        <v>0</v>
      </c>
      <c r="G30" s="60">
        <v>1113006.27</v>
      </c>
      <c r="H30" s="61">
        <f t="shared" si="3"/>
        <v>1113006.27</v>
      </c>
      <c r="I30" s="59">
        <f t="shared" si="4"/>
        <v>-566789.98</v>
      </c>
      <c r="J30" s="62">
        <f t="shared" si="0"/>
        <v>-33.74159098164435</v>
      </c>
      <c r="K30" s="65">
        <v>0</v>
      </c>
      <c r="L30" s="60">
        <v>98431.8</v>
      </c>
      <c r="M30" s="61">
        <f t="shared" si="5"/>
        <v>98431.8</v>
      </c>
      <c r="N30" s="59">
        <f t="shared" si="6"/>
        <v>-1014574.47</v>
      </c>
      <c r="O30" s="62">
        <f t="shared" si="1"/>
        <v>-91.15622232748069</v>
      </c>
      <c r="P30" s="63">
        <v>0</v>
      </c>
      <c r="Q30" s="63">
        <v>4671.6</v>
      </c>
      <c r="R30" s="64">
        <f t="shared" si="7"/>
        <v>4671.6</v>
      </c>
      <c r="S30" s="63">
        <f t="shared" si="18"/>
        <v>-93760.2</v>
      </c>
      <c r="T30" s="62">
        <f t="shared" si="8"/>
        <v>-95.2539728014727</v>
      </c>
      <c r="U30" s="63">
        <v>0</v>
      </c>
      <c r="V30" s="63">
        <v>3323.62</v>
      </c>
      <c r="W30" s="64">
        <f t="shared" si="9"/>
        <v>3323.62</v>
      </c>
      <c r="X30" s="63">
        <f t="shared" si="10"/>
        <v>-1347.9800000000005</v>
      </c>
      <c r="Y30" s="62">
        <f t="shared" si="11"/>
        <v>-28.854782087507502</v>
      </c>
      <c r="Z30" s="63">
        <v>0</v>
      </c>
      <c r="AA30" s="63">
        <v>2354.34</v>
      </c>
      <c r="AB30" s="64">
        <f t="shared" si="12"/>
        <v>2354.34</v>
      </c>
      <c r="AC30" s="63">
        <f t="shared" si="13"/>
        <v>-969.2799999999997</v>
      </c>
      <c r="AD30" s="62">
        <f t="shared" si="14"/>
        <v>-29.163382095426062</v>
      </c>
      <c r="AE30" s="63">
        <v>0</v>
      </c>
      <c r="AF30" s="63">
        <v>2787.2799999999997</v>
      </c>
      <c r="AG30" s="64">
        <f t="shared" si="15"/>
        <v>2787.2799999999997</v>
      </c>
      <c r="AH30" s="63">
        <f t="shared" si="16"/>
        <v>432.9399999999996</v>
      </c>
      <c r="AI30" s="62">
        <f t="shared" si="17"/>
        <v>18.389017728960113</v>
      </c>
      <c r="AJ30" s="191"/>
    </row>
    <row r="31" spans="1:36" s="40" customFormat="1" ht="15.75">
      <c r="A31" s="57">
        <v>26</v>
      </c>
      <c r="B31" s="58" t="s">
        <v>28</v>
      </c>
      <c r="C31" s="65">
        <v>0</v>
      </c>
      <c r="D31" s="60">
        <v>6624945.83</v>
      </c>
      <c r="E31" s="61">
        <f t="shared" si="2"/>
        <v>6624945.83</v>
      </c>
      <c r="F31" s="59">
        <v>0</v>
      </c>
      <c r="G31" s="60">
        <v>8074344.03</v>
      </c>
      <c r="H31" s="61">
        <f t="shared" si="3"/>
        <v>8074344.03</v>
      </c>
      <c r="I31" s="59">
        <f t="shared" si="4"/>
        <v>1449398.2000000002</v>
      </c>
      <c r="J31" s="62">
        <f t="shared" si="0"/>
        <v>21.87788756606332</v>
      </c>
      <c r="K31" s="65">
        <v>0</v>
      </c>
      <c r="L31" s="60">
        <v>49453799.02</v>
      </c>
      <c r="M31" s="61">
        <f t="shared" si="5"/>
        <v>49453799.02</v>
      </c>
      <c r="N31" s="59">
        <f t="shared" si="6"/>
        <v>41379454.99</v>
      </c>
      <c r="O31" s="62">
        <f t="shared" si="1"/>
        <v>512.4807022868457</v>
      </c>
      <c r="P31" s="63">
        <v>0</v>
      </c>
      <c r="Q31" s="63">
        <v>11954144.31</v>
      </c>
      <c r="R31" s="64">
        <f t="shared" si="7"/>
        <v>11954144.31</v>
      </c>
      <c r="S31" s="63">
        <f t="shared" si="18"/>
        <v>-37499654.71</v>
      </c>
      <c r="T31" s="62">
        <f t="shared" si="8"/>
        <v>-75.82765217862124</v>
      </c>
      <c r="U31" s="63">
        <v>0</v>
      </c>
      <c r="V31" s="63">
        <v>27405177.47</v>
      </c>
      <c r="W31" s="64">
        <f t="shared" si="9"/>
        <v>27405177.47</v>
      </c>
      <c r="X31" s="63">
        <f t="shared" si="10"/>
        <v>15451033.159999998</v>
      </c>
      <c r="Y31" s="62">
        <f t="shared" si="11"/>
        <v>129.25252330335968</v>
      </c>
      <c r="Z31" s="63">
        <v>0</v>
      </c>
      <c r="AA31" s="63">
        <v>16793550.42</v>
      </c>
      <c r="AB31" s="64">
        <f t="shared" si="12"/>
        <v>16793550.42</v>
      </c>
      <c r="AC31" s="63">
        <f t="shared" si="13"/>
        <v>-10611627.049999997</v>
      </c>
      <c r="AD31" s="62">
        <f t="shared" si="14"/>
        <v>-38.72124915672001</v>
      </c>
      <c r="AE31" s="63">
        <v>0</v>
      </c>
      <c r="AF31" s="63">
        <v>31995133.01</v>
      </c>
      <c r="AG31" s="64">
        <f t="shared" si="15"/>
        <v>31995133.01</v>
      </c>
      <c r="AH31" s="63">
        <f t="shared" si="16"/>
        <v>15201582.59</v>
      </c>
      <c r="AI31" s="62">
        <f t="shared" si="17"/>
        <v>90.52036174492278</v>
      </c>
      <c r="AJ31" s="191"/>
    </row>
    <row r="32" spans="1:36" s="67" customFormat="1" ht="15.75">
      <c r="A32" s="68">
        <v>27</v>
      </c>
      <c r="B32" s="39" t="s">
        <v>18</v>
      </c>
      <c r="C32" s="65">
        <v>0</v>
      </c>
      <c r="D32" s="59">
        <v>920900</v>
      </c>
      <c r="E32" s="69">
        <f t="shared" si="2"/>
        <v>920900</v>
      </c>
      <c r="F32" s="59">
        <v>0</v>
      </c>
      <c r="G32" s="59">
        <v>1006400</v>
      </c>
      <c r="H32" s="69">
        <f t="shared" si="3"/>
        <v>1006400</v>
      </c>
      <c r="I32" s="59">
        <f t="shared" si="4"/>
        <v>85500</v>
      </c>
      <c r="J32" s="62">
        <f t="shared" si="0"/>
        <v>9.284395699858834</v>
      </c>
      <c r="K32" s="65">
        <v>0</v>
      </c>
      <c r="L32" s="59">
        <v>12592420</v>
      </c>
      <c r="M32" s="69">
        <f t="shared" si="5"/>
        <v>12592420</v>
      </c>
      <c r="N32" s="59">
        <f t="shared" si="6"/>
        <v>11586020</v>
      </c>
      <c r="O32" s="62">
        <f t="shared" si="1"/>
        <v>1151.2341017488077</v>
      </c>
      <c r="P32" s="66">
        <v>0</v>
      </c>
      <c r="Q32" s="66">
        <v>20500</v>
      </c>
      <c r="R32" s="70">
        <f t="shared" si="7"/>
        <v>20500</v>
      </c>
      <c r="S32" s="66">
        <f t="shared" si="18"/>
        <v>-12571920</v>
      </c>
      <c r="T32" s="62">
        <f t="shared" si="8"/>
        <v>-99.83720365108533</v>
      </c>
      <c r="U32" s="66">
        <v>0</v>
      </c>
      <c r="V32" s="66">
        <v>100100</v>
      </c>
      <c r="W32" s="64">
        <f t="shared" si="9"/>
        <v>100100</v>
      </c>
      <c r="X32" s="63">
        <f t="shared" si="10"/>
        <v>79600</v>
      </c>
      <c r="Y32" s="62">
        <f t="shared" si="11"/>
        <v>388.2926829268293</v>
      </c>
      <c r="Z32" s="66">
        <v>0</v>
      </c>
      <c r="AA32" s="66">
        <v>581000</v>
      </c>
      <c r="AB32" s="64">
        <f t="shared" si="12"/>
        <v>581000</v>
      </c>
      <c r="AC32" s="63">
        <f t="shared" si="13"/>
        <v>480900</v>
      </c>
      <c r="AD32" s="62">
        <f t="shared" si="14"/>
        <v>480.4195804195804</v>
      </c>
      <c r="AE32" s="63">
        <v>0</v>
      </c>
      <c r="AF32" s="63">
        <v>174394.45</v>
      </c>
      <c r="AG32" s="64">
        <f t="shared" si="15"/>
        <v>174394.45</v>
      </c>
      <c r="AH32" s="63">
        <f t="shared" si="16"/>
        <v>-406605.55</v>
      </c>
      <c r="AI32" s="62">
        <f t="shared" si="17"/>
        <v>-69.98374354561102</v>
      </c>
      <c r="AJ32" s="191"/>
    </row>
    <row r="33" spans="1:36" s="40" customFormat="1" ht="15.75">
      <c r="A33" s="57">
        <v>28</v>
      </c>
      <c r="B33" s="39" t="s">
        <v>19</v>
      </c>
      <c r="C33" s="65">
        <v>0</v>
      </c>
      <c r="D33" s="60">
        <v>0</v>
      </c>
      <c r="E33" s="61">
        <f t="shared" si="2"/>
        <v>0</v>
      </c>
      <c r="F33" s="59">
        <v>0</v>
      </c>
      <c r="G33" s="60">
        <v>0</v>
      </c>
      <c r="H33" s="61">
        <f t="shared" si="3"/>
        <v>0</v>
      </c>
      <c r="I33" s="59">
        <f t="shared" si="4"/>
        <v>0</v>
      </c>
      <c r="J33" s="62" t="e">
        <f t="shared" si="0"/>
        <v>#DIV/0!</v>
      </c>
      <c r="K33" s="65">
        <v>0</v>
      </c>
      <c r="L33" s="60">
        <v>0</v>
      </c>
      <c r="M33" s="61">
        <f t="shared" si="5"/>
        <v>0</v>
      </c>
      <c r="N33" s="59">
        <f t="shared" si="6"/>
        <v>0</v>
      </c>
      <c r="O33" s="62" t="e">
        <f t="shared" si="1"/>
        <v>#DIV/0!</v>
      </c>
      <c r="P33" s="63">
        <v>0</v>
      </c>
      <c r="Q33" s="63">
        <v>56000</v>
      </c>
      <c r="R33" s="64">
        <f t="shared" si="7"/>
        <v>56000</v>
      </c>
      <c r="S33" s="63">
        <f t="shared" si="18"/>
        <v>56000</v>
      </c>
      <c r="T33" s="62">
        <f t="shared" si="8"/>
        <v>100</v>
      </c>
      <c r="U33" s="63">
        <v>0</v>
      </c>
      <c r="V33" s="63">
        <v>0</v>
      </c>
      <c r="W33" s="64">
        <f t="shared" si="9"/>
        <v>0</v>
      </c>
      <c r="X33" s="63">
        <f t="shared" si="10"/>
        <v>-56000</v>
      </c>
      <c r="Y33" s="62">
        <f t="shared" si="11"/>
        <v>-100</v>
      </c>
      <c r="Z33" s="63">
        <v>0</v>
      </c>
      <c r="AA33" s="63">
        <v>0</v>
      </c>
      <c r="AB33" s="64">
        <f t="shared" si="12"/>
        <v>0</v>
      </c>
      <c r="AC33" s="63">
        <f t="shared" si="13"/>
        <v>0</v>
      </c>
      <c r="AD33" s="62" t="e">
        <f t="shared" si="14"/>
        <v>#DIV/0!</v>
      </c>
      <c r="AE33" s="63">
        <v>0</v>
      </c>
      <c r="AF33" s="63">
        <v>0</v>
      </c>
      <c r="AG33" s="64">
        <f t="shared" si="15"/>
        <v>0</v>
      </c>
      <c r="AH33" s="63">
        <f t="shared" si="16"/>
        <v>0</v>
      </c>
      <c r="AI33" s="62" t="e">
        <f t="shared" si="17"/>
        <v>#DIV/0!</v>
      </c>
      <c r="AJ33" s="191"/>
    </row>
    <row r="34" spans="1:36" s="40" customFormat="1" ht="15.75">
      <c r="A34" s="57">
        <v>29</v>
      </c>
      <c r="B34" s="39" t="s">
        <v>20</v>
      </c>
      <c r="C34" s="65">
        <v>0</v>
      </c>
      <c r="D34" s="60">
        <v>1651918.37</v>
      </c>
      <c r="E34" s="61">
        <f t="shared" si="2"/>
        <v>1651918.37</v>
      </c>
      <c r="F34" s="59">
        <v>0</v>
      </c>
      <c r="G34" s="60">
        <v>3416819.75</v>
      </c>
      <c r="H34" s="61">
        <f t="shared" si="3"/>
        <v>3416819.75</v>
      </c>
      <c r="I34" s="59">
        <f t="shared" si="4"/>
        <v>1764901.38</v>
      </c>
      <c r="J34" s="62">
        <f t="shared" si="0"/>
        <v>106.83950321346688</v>
      </c>
      <c r="K34" s="65">
        <v>0</v>
      </c>
      <c r="L34" s="60">
        <v>542972.31</v>
      </c>
      <c r="M34" s="61">
        <f t="shared" si="5"/>
        <v>542972.31</v>
      </c>
      <c r="N34" s="59">
        <f t="shared" si="6"/>
        <v>-2873847.44</v>
      </c>
      <c r="O34" s="62">
        <f t="shared" si="1"/>
        <v>-84.10883951370276</v>
      </c>
      <c r="P34" s="63">
        <v>0</v>
      </c>
      <c r="Q34" s="63">
        <v>1642867.04</v>
      </c>
      <c r="R34" s="64">
        <f t="shared" si="7"/>
        <v>1642867.04</v>
      </c>
      <c r="S34" s="63">
        <f t="shared" si="18"/>
        <v>1099894.73</v>
      </c>
      <c r="T34" s="62">
        <f t="shared" si="8"/>
        <v>202.5692120469274</v>
      </c>
      <c r="U34" s="63">
        <v>0</v>
      </c>
      <c r="V34" s="63">
        <v>2599543.24</v>
      </c>
      <c r="W34" s="64">
        <f t="shared" si="9"/>
        <v>2599543.24</v>
      </c>
      <c r="X34" s="63">
        <f t="shared" si="10"/>
        <v>956676.2000000002</v>
      </c>
      <c r="Y34" s="62">
        <f t="shared" si="11"/>
        <v>58.2321135373195</v>
      </c>
      <c r="Z34" s="63">
        <v>0</v>
      </c>
      <c r="AA34" s="63">
        <v>315049.29</v>
      </c>
      <c r="AB34" s="64">
        <f t="shared" si="12"/>
        <v>315049.29</v>
      </c>
      <c r="AC34" s="63">
        <f t="shared" si="13"/>
        <v>-2284493.95</v>
      </c>
      <c r="AD34" s="62">
        <f t="shared" si="14"/>
        <v>-87.88059051481676</v>
      </c>
      <c r="AE34" s="63">
        <v>0</v>
      </c>
      <c r="AF34" s="63">
        <v>1500000</v>
      </c>
      <c r="AG34" s="64">
        <f t="shared" si="15"/>
        <v>1500000</v>
      </c>
      <c r="AH34" s="63">
        <f t="shared" si="16"/>
        <v>1184950.71</v>
      </c>
      <c r="AI34" s="62">
        <f t="shared" si="17"/>
        <v>376.11597537642444</v>
      </c>
      <c r="AJ34" s="191"/>
    </row>
    <row r="35" spans="1:36" s="40" customFormat="1" ht="15.75">
      <c r="A35" s="57">
        <v>30</v>
      </c>
      <c r="B35" s="39" t="s">
        <v>21</v>
      </c>
      <c r="C35" s="65">
        <v>0</v>
      </c>
      <c r="D35" s="60">
        <v>1066050.04</v>
      </c>
      <c r="E35" s="61">
        <f t="shared" si="2"/>
        <v>1066050.04</v>
      </c>
      <c r="F35" s="59">
        <v>0</v>
      </c>
      <c r="G35" s="60">
        <v>972510</v>
      </c>
      <c r="H35" s="61">
        <f t="shared" si="3"/>
        <v>972510</v>
      </c>
      <c r="I35" s="59">
        <f t="shared" si="4"/>
        <v>-93540.04000000004</v>
      </c>
      <c r="J35" s="62">
        <f t="shared" si="0"/>
        <v>-8.774451150529485</v>
      </c>
      <c r="K35" s="65">
        <v>0</v>
      </c>
      <c r="L35" s="60">
        <v>1025950</v>
      </c>
      <c r="M35" s="61">
        <f t="shared" si="5"/>
        <v>1025950</v>
      </c>
      <c r="N35" s="59">
        <f t="shared" si="6"/>
        <v>53440</v>
      </c>
      <c r="O35" s="62">
        <f t="shared" si="1"/>
        <v>5.495059176769391</v>
      </c>
      <c r="P35" s="63">
        <v>0</v>
      </c>
      <c r="Q35" s="63">
        <v>3187766</v>
      </c>
      <c r="R35" s="64">
        <f t="shared" si="7"/>
        <v>3187766</v>
      </c>
      <c r="S35" s="63">
        <f t="shared" si="18"/>
        <v>2161816</v>
      </c>
      <c r="T35" s="62">
        <f t="shared" si="8"/>
        <v>210.71358253326184</v>
      </c>
      <c r="U35" s="63">
        <v>0</v>
      </c>
      <c r="V35" s="63">
        <v>3316871</v>
      </c>
      <c r="W35" s="64">
        <f t="shared" si="9"/>
        <v>3316871</v>
      </c>
      <c r="X35" s="63">
        <f t="shared" si="10"/>
        <v>129105</v>
      </c>
      <c r="Y35" s="62">
        <f t="shared" si="11"/>
        <v>4.050014963457167</v>
      </c>
      <c r="Z35" s="63">
        <v>0</v>
      </c>
      <c r="AA35" s="63">
        <v>-451452.81000000006</v>
      </c>
      <c r="AB35" s="64">
        <f t="shared" si="12"/>
        <v>-451452.81000000006</v>
      </c>
      <c r="AC35" s="63">
        <f t="shared" si="13"/>
        <v>-3768323.81</v>
      </c>
      <c r="AD35" s="62">
        <f t="shared" si="14"/>
        <v>-113.61080397760419</v>
      </c>
      <c r="AE35" s="63">
        <v>0</v>
      </c>
      <c r="AF35" s="63">
        <v>5269960</v>
      </c>
      <c r="AG35" s="64">
        <f t="shared" si="15"/>
        <v>5269960</v>
      </c>
      <c r="AH35" s="63">
        <f t="shared" si="16"/>
        <v>5721412.8100000005</v>
      </c>
      <c r="AI35" s="62">
        <f t="shared" si="17"/>
        <v>-1267.3335248483666</v>
      </c>
      <c r="AJ35" s="191"/>
    </row>
    <row r="36" spans="1:36" s="40" customFormat="1" ht="15.75">
      <c r="A36" s="57">
        <v>31</v>
      </c>
      <c r="B36" s="39" t="s">
        <v>49</v>
      </c>
      <c r="C36" s="65">
        <v>0</v>
      </c>
      <c r="D36" s="60">
        <v>11677514.73</v>
      </c>
      <c r="E36" s="61">
        <f t="shared" si="2"/>
        <v>11677514.73</v>
      </c>
      <c r="F36" s="59">
        <v>0</v>
      </c>
      <c r="G36" s="60">
        <v>16505811.559999999</v>
      </c>
      <c r="H36" s="61">
        <f t="shared" si="3"/>
        <v>16505811.559999999</v>
      </c>
      <c r="I36" s="59">
        <f t="shared" si="4"/>
        <v>4828296.829999998</v>
      </c>
      <c r="J36" s="62">
        <f t="shared" si="0"/>
        <v>41.34695559489136</v>
      </c>
      <c r="K36" s="65">
        <v>0</v>
      </c>
      <c r="L36" s="60">
        <v>7536617.41</v>
      </c>
      <c r="M36" s="61">
        <f t="shared" si="5"/>
        <v>7536617.41</v>
      </c>
      <c r="N36" s="59">
        <f t="shared" si="6"/>
        <v>-8969194.149999999</v>
      </c>
      <c r="O36" s="62">
        <f t="shared" si="1"/>
        <v>-54.339613156228225</v>
      </c>
      <c r="P36" s="63">
        <v>0</v>
      </c>
      <c r="Q36" s="63">
        <v>5664232.26</v>
      </c>
      <c r="R36" s="64">
        <f t="shared" si="7"/>
        <v>5664232.26</v>
      </c>
      <c r="S36" s="63">
        <f t="shared" si="18"/>
        <v>-1872385.1500000004</v>
      </c>
      <c r="T36" s="62">
        <f t="shared" si="8"/>
        <v>-24.843839724643793</v>
      </c>
      <c r="U36" s="63">
        <v>0</v>
      </c>
      <c r="V36" s="63">
        <v>8122165</v>
      </c>
      <c r="W36" s="64">
        <f t="shared" si="9"/>
        <v>8122165</v>
      </c>
      <c r="X36" s="63">
        <f t="shared" si="10"/>
        <v>2457932.74</v>
      </c>
      <c r="Y36" s="62">
        <f t="shared" si="11"/>
        <v>43.39392572860351</v>
      </c>
      <c r="Z36" s="63">
        <v>0</v>
      </c>
      <c r="AA36" s="63">
        <v>10883675</v>
      </c>
      <c r="AB36" s="64">
        <f t="shared" si="12"/>
        <v>10883675</v>
      </c>
      <c r="AC36" s="63">
        <f t="shared" si="13"/>
        <v>2761510</v>
      </c>
      <c r="AD36" s="62">
        <f t="shared" si="14"/>
        <v>33.99967865710682</v>
      </c>
      <c r="AE36" s="63">
        <v>0</v>
      </c>
      <c r="AF36" s="63">
        <v>9593490</v>
      </c>
      <c r="AG36" s="64">
        <f t="shared" si="15"/>
        <v>9593490</v>
      </c>
      <c r="AH36" s="63">
        <f t="shared" si="16"/>
        <v>-1290185</v>
      </c>
      <c r="AI36" s="62">
        <f t="shared" si="17"/>
        <v>-11.8543139151068</v>
      </c>
      <c r="AJ36" s="191"/>
    </row>
    <row r="37" spans="1:36" s="40" customFormat="1" ht="15.75">
      <c r="A37" s="57">
        <v>32</v>
      </c>
      <c r="B37" s="39" t="s">
        <v>22</v>
      </c>
      <c r="C37" s="65">
        <v>0</v>
      </c>
      <c r="D37" s="60">
        <v>916322.5700000001</v>
      </c>
      <c r="E37" s="61">
        <f t="shared" si="2"/>
        <v>916322.5700000001</v>
      </c>
      <c r="F37" s="59">
        <v>0</v>
      </c>
      <c r="G37" s="60">
        <v>1353118.43</v>
      </c>
      <c r="H37" s="61">
        <f t="shared" si="3"/>
        <v>1353118.43</v>
      </c>
      <c r="I37" s="59">
        <f t="shared" si="4"/>
        <v>436795.85999999987</v>
      </c>
      <c r="J37" s="62">
        <f t="shared" si="0"/>
        <v>47.6683511135167</v>
      </c>
      <c r="K37" s="65">
        <v>0</v>
      </c>
      <c r="L37" s="60">
        <v>1621437.02</v>
      </c>
      <c r="M37" s="61">
        <f t="shared" si="5"/>
        <v>1621437.02</v>
      </c>
      <c r="N37" s="59">
        <f t="shared" si="6"/>
        <v>268318.5900000001</v>
      </c>
      <c r="O37" s="62">
        <f t="shared" si="1"/>
        <v>19.829645657845344</v>
      </c>
      <c r="P37" s="63">
        <v>0</v>
      </c>
      <c r="Q37" s="63">
        <v>1478024.03</v>
      </c>
      <c r="R37" s="64">
        <f t="shared" si="7"/>
        <v>1478024.03</v>
      </c>
      <c r="S37" s="63">
        <f t="shared" si="18"/>
        <v>-143412.99</v>
      </c>
      <c r="T37" s="62">
        <f t="shared" si="8"/>
        <v>-8.844807922295988</v>
      </c>
      <c r="U37" s="63">
        <v>0</v>
      </c>
      <c r="V37" s="63">
        <v>1524871.63</v>
      </c>
      <c r="W37" s="64">
        <f t="shared" si="9"/>
        <v>1524871.63</v>
      </c>
      <c r="X37" s="63">
        <f t="shared" si="10"/>
        <v>46847.59999999986</v>
      </c>
      <c r="Y37" s="62">
        <f t="shared" si="11"/>
        <v>3.1696101720348797</v>
      </c>
      <c r="Z37" s="63">
        <v>0</v>
      </c>
      <c r="AA37" s="63">
        <v>1897477.01</v>
      </c>
      <c r="AB37" s="64">
        <f t="shared" si="12"/>
        <v>1897477.01</v>
      </c>
      <c r="AC37" s="63">
        <f t="shared" si="13"/>
        <v>372605.3800000001</v>
      </c>
      <c r="AD37" s="62">
        <f t="shared" si="14"/>
        <v>24.43519655487329</v>
      </c>
      <c r="AE37" s="63">
        <v>0</v>
      </c>
      <c r="AF37" s="63">
        <v>2837213.27</v>
      </c>
      <c r="AG37" s="64">
        <f t="shared" si="15"/>
        <v>2837213.27</v>
      </c>
      <c r="AH37" s="63">
        <f t="shared" si="16"/>
        <v>939736.26</v>
      </c>
      <c r="AI37" s="62">
        <f t="shared" si="17"/>
        <v>49.52556763783926</v>
      </c>
      <c r="AJ37" s="191"/>
    </row>
    <row r="38" spans="1:36" s="40" customFormat="1" ht="15.75">
      <c r="A38" s="57">
        <v>33</v>
      </c>
      <c r="B38" s="39" t="s">
        <v>23</v>
      </c>
      <c r="C38" s="65">
        <v>0</v>
      </c>
      <c r="D38" s="60">
        <v>3925814.09</v>
      </c>
      <c r="E38" s="61">
        <f t="shared" si="2"/>
        <v>3925814.09</v>
      </c>
      <c r="F38" s="59">
        <v>0</v>
      </c>
      <c r="G38" s="60">
        <v>6176468.350000001</v>
      </c>
      <c r="H38" s="61">
        <f t="shared" si="3"/>
        <v>6176468.350000001</v>
      </c>
      <c r="I38" s="59">
        <f t="shared" si="4"/>
        <v>2250654.2600000007</v>
      </c>
      <c r="J38" s="62">
        <f t="shared" si="0"/>
        <v>57.32961898865671</v>
      </c>
      <c r="K38" s="65">
        <v>0</v>
      </c>
      <c r="L38" s="60">
        <v>9555343.180000002</v>
      </c>
      <c r="M38" s="61">
        <f t="shared" si="5"/>
        <v>9555343.180000002</v>
      </c>
      <c r="N38" s="59">
        <f t="shared" si="6"/>
        <v>3378874.830000001</v>
      </c>
      <c r="O38" s="62">
        <f t="shared" si="1"/>
        <v>54.705612309986186</v>
      </c>
      <c r="P38" s="63">
        <v>0</v>
      </c>
      <c r="Q38" s="63">
        <v>7936699.130000001</v>
      </c>
      <c r="R38" s="64">
        <f t="shared" si="7"/>
        <v>7936699.130000001</v>
      </c>
      <c r="S38" s="63">
        <f t="shared" si="18"/>
        <v>-1618644.0500000007</v>
      </c>
      <c r="T38" s="62">
        <f t="shared" si="8"/>
        <v>-16.939674687853547</v>
      </c>
      <c r="U38" s="63">
        <v>0</v>
      </c>
      <c r="V38" s="63">
        <v>5107353.29</v>
      </c>
      <c r="W38" s="64">
        <f t="shared" si="9"/>
        <v>5107353.29</v>
      </c>
      <c r="X38" s="63">
        <f t="shared" si="10"/>
        <v>-2829345.840000001</v>
      </c>
      <c r="Y38" s="62">
        <f t="shared" si="11"/>
        <v>-35.64889878848161</v>
      </c>
      <c r="Z38" s="63">
        <v>0</v>
      </c>
      <c r="AA38" s="63">
        <v>2627084.32</v>
      </c>
      <c r="AB38" s="64">
        <f t="shared" si="12"/>
        <v>2627084.32</v>
      </c>
      <c r="AC38" s="63">
        <f t="shared" si="13"/>
        <v>-2480268.97</v>
      </c>
      <c r="AD38" s="62">
        <f t="shared" si="14"/>
        <v>-48.562706144810285</v>
      </c>
      <c r="AE38" s="63">
        <v>0</v>
      </c>
      <c r="AF38" s="63">
        <v>4190458.93</v>
      </c>
      <c r="AG38" s="64">
        <f t="shared" si="15"/>
        <v>4190458.93</v>
      </c>
      <c r="AH38" s="63">
        <f t="shared" si="16"/>
        <v>1563374.6100000003</v>
      </c>
      <c r="AI38" s="62">
        <f t="shared" si="17"/>
        <v>59.50987557186594</v>
      </c>
      <c r="AJ38" s="191"/>
    </row>
    <row r="39" spans="1:36" s="40" customFormat="1" ht="15.75">
      <c r="A39" s="57">
        <v>34</v>
      </c>
      <c r="B39" s="39" t="s">
        <v>24</v>
      </c>
      <c r="C39" s="65">
        <v>0</v>
      </c>
      <c r="D39" s="60">
        <v>2714144.84</v>
      </c>
      <c r="E39" s="61">
        <f t="shared" si="2"/>
        <v>2714144.84</v>
      </c>
      <c r="F39" s="59">
        <v>0</v>
      </c>
      <c r="G39" s="60">
        <v>5383947.33</v>
      </c>
      <c r="H39" s="61">
        <f t="shared" si="3"/>
        <v>5383947.33</v>
      </c>
      <c r="I39" s="59">
        <f t="shared" si="4"/>
        <v>2669802.49</v>
      </c>
      <c r="J39" s="62">
        <f t="shared" si="0"/>
        <v>98.3662496803229</v>
      </c>
      <c r="K39" s="65">
        <v>0</v>
      </c>
      <c r="L39" s="60">
        <v>463378.4</v>
      </c>
      <c r="M39" s="61">
        <f t="shared" si="5"/>
        <v>463378.4</v>
      </c>
      <c r="N39" s="59">
        <f t="shared" si="6"/>
        <v>-4920568.93</v>
      </c>
      <c r="O39" s="62">
        <f t="shared" si="1"/>
        <v>-91.39333333708522</v>
      </c>
      <c r="P39" s="63">
        <v>0</v>
      </c>
      <c r="Q39" s="63">
        <v>1655447.4300000002</v>
      </c>
      <c r="R39" s="64">
        <f t="shared" si="7"/>
        <v>1655447.4300000002</v>
      </c>
      <c r="S39" s="63">
        <f t="shared" si="18"/>
        <v>1192069.0300000003</v>
      </c>
      <c r="T39" s="62">
        <f t="shared" si="8"/>
        <v>257.2560632951385</v>
      </c>
      <c r="U39" s="63">
        <v>0</v>
      </c>
      <c r="V39" s="63">
        <v>1430287.08</v>
      </c>
      <c r="W39" s="64">
        <f t="shared" si="9"/>
        <v>1430287.08</v>
      </c>
      <c r="X39" s="63">
        <f t="shared" si="10"/>
        <v>-225160.3500000001</v>
      </c>
      <c r="Y39" s="62">
        <f t="shared" si="11"/>
        <v>-13.601177900285245</v>
      </c>
      <c r="Z39" s="63">
        <v>0</v>
      </c>
      <c r="AA39" s="63">
        <v>647062.48</v>
      </c>
      <c r="AB39" s="64">
        <f t="shared" si="12"/>
        <v>647062.48</v>
      </c>
      <c r="AC39" s="63">
        <f t="shared" si="13"/>
        <v>-783224.6000000001</v>
      </c>
      <c r="AD39" s="62">
        <f t="shared" si="14"/>
        <v>-54.75995770024016</v>
      </c>
      <c r="AE39" s="63">
        <v>0</v>
      </c>
      <c r="AF39" s="63">
        <v>883607.21</v>
      </c>
      <c r="AG39" s="64">
        <f t="shared" si="15"/>
        <v>883607.21</v>
      </c>
      <c r="AH39" s="63">
        <f t="shared" si="16"/>
        <v>236544.72999999998</v>
      </c>
      <c r="AI39" s="62">
        <f t="shared" si="17"/>
        <v>36.556706239558196</v>
      </c>
      <c r="AJ39" s="191"/>
    </row>
    <row r="40" spans="1:36" s="40" customFormat="1" ht="15.75">
      <c r="A40" s="57">
        <v>35</v>
      </c>
      <c r="B40" s="71" t="s">
        <v>50</v>
      </c>
      <c r="C40" s="65">
        <v>0</v>
      </c>
      <c r="D40" s="60">
        <v>0</v>
      </c>
      <c r="E40" s="61">
        <f t="shared" si="2"/>
        <v>0</v>
      </c>
      <c r="F40" s="59">
        <v>0</v>
      </c>
      <c r="G40" s="60">
        <v>0</v>
      </c>
      <c r="H40" s="61">
        <f t="shared" si="3"/>
        <v>0</v>
      </c>
      <c r="I40" s="59">
        <f t="shared" si="4"/>
        <v>0</v>
      </c>
      <c r="J40" s="62" t="e">
        <f t="shared" si="0"/>
        <v>#DIV/0!</v>
      </c>
      <c r="K40" s="65">
        <v>0</v>
      </c>
      <c r="L40" s="60">
        <v>0</v>
      </c>
      <c r="M40" s="61">
        <f t="shared" si="5"/>
        <v>0</v>
      </c>
      <c r="N40" s="59">
        <f t="shared" si="6"/>
        <v>0</v>
      </c>
      <c r="O40" s="62" t="e">
        <f t="shared" si="1"/>
        <v>#DIV/0!</v>
      </c>
      <c r="P40" s="63">
        <v>0</v>
      </c>
      <c r="Q40" s="63">
        <v>0</v>
      </c>
      <c r="R40" s="64">
        <f t="shared" si="7"/>
        <v>0</v>
      </c>
      <c r="S40" s="63">
        <f t="shared" si="18"/>
        <v>0</v>
      </c>
      <c r="T40" s="62" t="e">
        <f t="shared" si="8"/>
        <v>#DIV/0!</v>
      </c>
      <c r="U40" s="63">
        <v>0</v>
      </c>
      <c r="V40" s="63">
        <v>0</v>
      </c>
      <c r="W40" s="64">
        <f t="shared" si="9"/>
        <v>0</v>
      </c>
      <c r="X40" s="63">
        <f t="shared" si="10"/>
        <v>0</v>
      </c>
      <c r="Y40" s="62" t="e">
        <f t="shared" si="11"/>
        <v>#DIV/0!</v>
      </c>
      <c r="Z40" s="63">
        <v>0</v>
      </c>
      <c r="AA40" s="63">
        <v>0</v>
      </c>
      <c r="AB40" s="64">
        <f t="shared" si="12"/>
        <v>0</v>
      </c>
      <c r="AC40" s="63">
        <f t="shared" si="13"/>
        <v>0</v>
      </c>
      <c r="AD40" s="62" t="e">
        <f t="shared" si="14"/>
        <v>#DIV/0!</v>
      </c>
      <c r="AE40" s="63">
        <v>0</v>
      </c>
      <c r="AF40" s="63">
        <v>0</v>
      </c>
      <c r="AG40" s="64">
        <f t="shared" si="15"/>
        <v>0</v>
      </c>
      <c r="AH40" s="63">
        <f t="shared" si="16"/>
        <v>0</v>
      </c>
      <c r="AI40" s="62" t="e">
        <f t="shared" si="17"/>
        <v>#DIV/0!</v>
      </c>
      <c r="AJ40" s="191"/>
    </row>
    <row r="41" spans="1:36" s="67" customFormat="1" ht="15.75">
      <c r="A41" s="68">
        <v>36</v>
      </c>
      <c r="B41" s="71" t="s">
        <v>63</v>
      </c>
      <c r="C41" s="65">
        <v>0</v>
      </c>
      <c r="D41" s="59">
        <v>0</v>
      </c>
      <c r="E41" s="69">
        <f t="shared" si="2"/>
        <v>0</v>
      </c>
      <c r="F41" s="59">
        <v>0</v>
      </c>
      <c r="G41" s="59">
        <v>0</v>
      </c>
      <c r="H41" s="69">
        <f t="shared" si="3"/>
        <v>0</v>
      </c>
      <c r="I41" s="59">
        <f t="shared" si="4"/>
        <v>0</v>
      </c>
      <c r="J41" s="62" t="e">
        <f t="shared" si="0"/>
        <v>#DIV/0!</v>
      </c>
      <c r="K41" s="65">
        <v>0</v>
      </c>
      <c r="L41" s="59">
        <v>0</v>
      </c>
      <c r="M41" s="69">
        <f t="shared" si="5"/>
        <v>0</v>
      </c>
      <c r="N41" s="59">
        <f t="shared" si="6"/>
        <v>0</v>
      </c>
      <c r="O41" s="62" t="e">
        <f t="shared" si="1"/>
        <v>#DIV/0!</v>
      </c>
      <c r="P41" s="66">
        <v>0</v>
      </c>
      <c r="Q41" s="66">
        <v>7953960</v>
      </c>
      <c r="R41" s="70">
        <f t="shared" si="7"/>
        <v>7953960</v>
      </c>
      <c r="S41" s="66">
        <f>SUM(R41-M41)</f>
        <v>7953960</v>
      </c>
      <c r="T41" s="62">
        <f>((R41-M41)*100)/IF(M41=0,R41,M41)</f>
        <v>100</v>
      </c>
      <c r="U41" s="66">
        <v>0</v>
      </c>
      <c r="V41" s="66">
        <v>88994009.2</v>
      </c>
      <c r="W41" s="64">
        <f t="shared" si="9"/>
        <v>88994009.2</v>
      </c>
      <c r="X41" s="63">
        <f t="shared" si="10"/>
        <v>81040049.2</v>
      </c>
      <c r="Y41" s="62">
        <f aca="true" t="shared" si="19" ref="Y41:Y47">((W41-R41)*100)/IF(R41=0,W41,R41)</f>
        <v>1018.8641783463835</v>
      </c>
      <c r="Z41" s="66">
        <v>0</v>
      </c>
      <c r="AA41" s="66">
        <v>166742149.25</v>
      </c>
      <c r="AB41" s="64">
        <f t="shared" si="12"/>
        <v>166742149.25</v>
      </c>
      <c r="AC41" s="63">
        <f t="shared" si="13"/>
        <v>77748140.05</v>
      </c>
      <c r="AD41" s="62">
        <f t="shared" si="14"/>
        <v>87.36334136298244</v>
      </c>
      <c r="AE41" s="66">
        <v>0</v>
      </c>
      <c r="AF41" s="66">
        <v>63477145</v>
      </c>
      <c r="AG41" s="64">
        <f t="shared" si="15"/>
        <v>63477145</v>
      </c>
      <c r="AH41" s="63">
        <f t="shared" si="16"/>
        <v>-103265004.25</v>
      </c>
      <c r="AI41" s="62">
        <f t="shared" si="17"/>
        <v>-61.930954299487055</v>
      </c>
      <c r="AJ41" s="191"/>
    </row>
    <row r="42" spans="1:36" s="67" customFormat="1" ht="15.75">
      <c r="A42" s="68">
        <v>37</v>
      </c>
      <c r="B42" s="71" t="s">
        <v>68</v>
      </c>
      <c r="C42" s="65"/>
      <c r="D42" s="59"/>
      <c r="E42" s="69"/>
      <c r="F42" s="59"/>
      <c r="G42" s="59"/>
      <c r="H42" s="69"/>
      <c r="I42" s="59"/>
      <c r="J42" s="62"/>
      <c r="K42" s="65"/>
      <c r="L42" s="59"/>
      <c r="M42" s="69"/>
      <c r="N42" s="59"/>
      <c r="O42" s="62"/>
      <c r="P42" s="66"/>
      <c r="Q42" s="66"/>
      <c r="R42" s="70"/>
      <c r="S42" s="66"/>
      <c r="T42" s="62"/>
      <c r="U42" s="66">
        <v>0</v>
      </c>
      <c r="V42" s="66">
        <v>24500</v>
      </c>
      <c r="W42" s="64">
        <f t="shared" si="9"/>
        <v>24500</v>
      </c>
      <c r="X42" s="63">
        <f t="shared" si="10"/>
        <v>24500</v>
      </c>
      <c r="Y42" s="62">
        <f t="shared" si="19"/>
        <v>100</v>
      </c>
      <c r="Z42" s="66">
        <v>0</v>
      </c>
      <c r="AA42" s="66">
        <v>425187</v>
      </c>
      <c r="AB42" s="64">
        <f t="shared" si="12"/>
        <v>425187</v>
      </c>
      <c r="AC42" s="63">
        <f t="shared" si="13"/>
        <v>400687</v>
      </c>
      <c r="AD42" s="62">
        <f t="shared" si="14"/>
        <v>1635.4571428571428</v>
      </c>
      <c r="AE42" s="66">
        <v>0</v>
      </c>
      <c r="AF42" s="66">
        <v>467100</v>
      </c>
      <c r="AG42" s="64">
        <f t="shared" si="15"/>
        <v>467100</v>
      </c>
      <c r="AH42" s="63">
        <f t="shared" si="16"/>
        <v>41913</v>
      </c>
      <c r="AI42" s="62">
        <f t="shared" si="17"/>
        <v>9.8575450331266</v>
      </c>
      <c r="AJ42" s="191"/>
    </row>
    <row r="43" spans="1:36" s="67" customFormat="1" ht="15.75">
      <c r="A43" s="68">
        <v>38</v>
      </c>
      <c r="B43" s="71" t="s">
        <v>111</v>
      </c>
      <c r="C43" s="65"/>
      <c r="D43" s="59"/>
      <c r="E43" s="69"/>
      <c r="F43" s="59"/>
      <c r="G43" s="59"/>
      <c r="H43" s="69"/>
      <c r="I43" s="59"/>
      <c r="J43" s="62"/>
      <c r="K43" s="65"/>
      <c r="L43" s="59"/>
      <c r="M43" s="69"/>
      <c r="N43" s="59"/>
      <c r="O43" s="62"/>
      <c r="P43" s="66"/>
      <c r="Q43" s="66"/>
      <c r="R43" s="70"/>
      <c r="S43" s="66"/>
      <c r="T43" s="62"/>
      <c r="U43" s="66">
        <v>3420000</v>
      </c>
      <c r="V43" s="66">
        <v>6284420.24</v>
      </c>
      <c r="W43" s="64">
        <f>SUM(U43:V43)</f>
        <v>9704420.24</v>
      </c>
      <c r="X43" s="63">
        <f>SUM(W43-R43)</f>
        <v>9704420.24</v>
      </c>
      <c r="Y43" s="62">
        <f t="shared" si="19"/>
        <v>100</v>
      </c>
      <c r="Z43" s="66">
        <v>7355000</v>
      </c>
      <c r="AA43" s="66">
        <v>7809604.18</v>
      </c>
      <c r="AB43" s="64">
        <f t="shared" si="12"/>
        <v>15164604.18</v>
      </c>
      <c r="AC43" s="63">
        <f t="shared" si="13"/>
        <v>5460183.9399999995</v>
      </c>
      <c r="AD43" s="62">
        <f t="shared" si="14"/>
        <v>56.26491645007327</v>
      </c>
      <c r="AE43" s="66">
        <v>13867500</v>
      </c>
      <c r="AF43" s="66">
        <v>17403628.05</v>
      </c>
      <c r="AG43" s="64">
        <f t="shared" si="15"/>
        <v>31271128.05</v>
      </c>
      <c r="AH43" s="63">
        <f t="shared" si="16"/>
        <v>16106523.870000001</v>
      </c>
      <c r="AI43" s="62">
        <f t="shared" si="17"/>
        <v>106.21130415815443</v>
      </c>
      <c r="AJ43" s="191"/>
    </row>
    <row r="44" spans="1:36" s="67" customFormat="1" ht="15.75">
      <c r="A44" s="68">
        <v>39</v>
      </c>
      <c r="B44" s="71" t="s">
        <v>127</v>
      </c>
      <c r="C44" s="65"/>
      <c r="D44" s="59"/>
      <c r="E44" s="69"/>
      <c r="F44" s="59"/>
      <c r="G44" s="59"/>
      <c r="H44" s="69"/>
      <c r="I44" s="59"/>
      <c r="J44" s="62"/>
      <c r="K44" s="65"/>
      <c r="L44" s="59"/>
      <c r="M44" s="69"/>
      <c r="N44" s="59"/>
      <c r="O44" s="62"/>
      <c r="P44" s="66"/>
      <c r="Q44" s="66"/>
      <c r="R44" s="70"/>
      <c r="S44" s="66"/>
      <c r="T44" s="62"/>
      <c r="U44" s="66"/>
      <c r="V44" s="66"/>
      <c r="W44" s="64"/>
      <c r="X44" s="63"/>
      <c r="Y44" s="62"/>
      <c r="Z44" s="66"/>
      <c r="AA44" s="66"/>
      <c r="AB44" s="64"/>
      <c r="AC44" s="63"/>
      <c r="AD44" s="62"/>
      <c r="AE44" s="66">
        <v>0</v>
      </c>
      <c r="AF44" s="66">
        <v>500000</v>
      </c>
      <c r="AG44" s="64">
        <f t="shared" si="15"/>
        <v>500000</v>
      </c>
      <c r="AH44" s="63">
        <f>SUM(AG44-AB44)</f>
        <v>500000</v>
      </c>
      <c r="AI44" s="62">
        <f>((AG44-AB44)*100)/IF(AB44=0,AG44,AB44)</f>
        <v>100</v>
      </c>
      <c r="AJ44" s="191"/>
    </row>
    <row r="45" spans="1:36" s="40" customFormat="1" ht="15.75">
      <c r="A45" s="72" t="s">
        <v>47</v>
      </c>
      <c r="B45" s="71" t="s">
        <v>43</v>
      </c>
      <c r="C45" s="65">
        <v>0</v>
      </c>
      <c r="D45" s="60">
        <v>1232456.03</v>
      </c>
      <c r="E45" s="61">
        <f t="shared" si="2"/>
        <v>1232456.03</v>
      </c>
      <c r="F45" s="59">
        <v>0</v>
      </c>
      <c r="G45" s="60">
        <v>897865.72</v>
      </c>
      <c r="H45" s="61">
        <f t="shared" si="3"/>
        <v>897865.72</v>
      </c>
      <c r="I45" s="59">
        <f t="shared" si="4"/>
        <v>-334590.31000000006</v>
      </c>
      <c r="J45" s="62">
        <f t="shared" si="0"/>
        <v>-27.148255341815325</v>
      </c>
      <c r="K45" s="65">
        <v>0</v>
      </c>
      <c r="L45" s="60">
        <v>681619.44</v>
      </c>
      <c r="M45" s="61">
        <f t="shared" si="5"/>
        <v>681619.44</v>
      </c>
      <c r="N45" s="59">
        <f t="shared" si="6"/>
        <v>-216246.28000000003</v>
      </c>
      <c r="O45" s="62">
        <f t="shared" si="1"/>
        <v>-24.08447891294926</v>
      </c>
      <c r="P45" s="63">
        <v>0</v>
      </c>
      <c r="Q45" s="63">
        <v>483631.19999999995</v>
      </c>
      <c r="R45" s="64">
        <f t="shared" si="7"/>
        <v>483631.19999999995</v>
      </c>
      <c r="S45" s="63">
        <f t="shared" si="18"/>
        <v>-197988.24</v>
      </c>
      <c r="T45" s="62">
        <f t="shared" si="8"/>
        <v>-29.046741976725315</v>
      </c>
      <c r="U45" s="63">
        <v>0</v>
      </c>
      <c r="V45" s="63">
        <v>499897.85</v>
      </c>
      <c r="W45" s="64">
        <f>SUM(U45:V45)</f>
        <v>499897.85</v>
      </c>
      <c r="X45" s="63">
        <f>SUM(W45-R45)</f>
        <v>16266.650000000023</v>
      </c>
      <c r="Y45" s="62">
        <f t="shared" si="19"/>
        <v>3.363440985610528</v>
      </c>
      <c r="Z45" s="63">
        <v>0</v>
      </c>
      <c r="AA45" s="63">
        <v>485713.79</v>
      </c>
      <c r="AB45" s="64">
        <f t="shared" si="12"/>
        <v>485713.79</v>
      </c>
      <c r="AC45" s="63">
        <f t="shared" si="13"/>
        <v>-14184.059999999998</v>
      </c>
      <c r="AD45" s="62">
        <f t="shared" si="14"/>
        <v>-2.837391679120044</v>
      </c>
      <c r="AE45" s="63">
        <v>0</v>
      </c>
      <c r="AF45" s="63">
        <v>210591.79</v>
      </c>
      <c r="AG45" s="64">
        <f t="shared" si="15"/>
        <v>210591.79</v>
      </c>
      <c r="AH45" s="63">
        <f t="shared" si="16"/>
        <v>-275122</v>
      </c>
      <c r="AI45" s="62">
        <f t="shared" si="17"/>
        <v>-56.64282251488063</v>
      </c>
      <c r="AJ45" s="191"/>
    </row>
    <row r="46" spans="1:36" s="67" customFormat="1" ht="15.75">
      <c r="A46" s="73" t="s">
        <v>40</v>
      </c>
      <c r="B46" s="71" t="s">
        <v>39</v>
      </c>
      <c r="C46" s="65">
        <v>-793549.48</v>
      </c>
      <c r="D46" s="59">
        <v>120565048.29</v>
      </c>
      <c r="E46" s="69">
        <f t="shared" si="2"/>
        <v>119771498.81</v>
      </c>
      <c r="F46" s="59">
        <v>15995056</v>
      </c>
      <c r="G46" s="59">
        <v>95409534.98</v>
      </c>
      <c r="H46" s="69">
        <f t="shared" si="3"/>
        <v>111404590.98</v>
      </c>
      <c r="I46" s="59">
        <f t="shared" si="4"/>
        <v>-8366907.829999998</v>
      </c>
      <c r="J46" s="62">
        <f t="shared" si="0"/>
        <v>-6.985725246097885</v>
      </c>
      <c r="K46" s="65">
        <v>-2018535</v>
      </c>
      <c r="L46" s="59">
        <v>53196485.96</v>
      </c>
      <c r="M46" s="69">
        <f t="shared" si="5"/>
        <v>51177950.96</v>
      </c>
      <c r="N46" s="59">
        <f t="shared" si="6"/>
        <v>-60226640.02</v>
      </c>
      <c r="O46" s="62">
        <f t="shared" si="1"/>
        <v>-54.06118319738927</v>
      </c>
      <c r="P46" s="66">
        <v>64400</v>
      </c>
      <c r="Q46" s="66">
        <v>105690668.43</v>
      </c>
      <c r="R46" s="70">
        <f t="shared" si="7"/>
        <v>105755068.43</v>
      </c>
      <c r="S46" s="66">
        <f t="shared" si="18"/>
        <v>54577117.470000006</v>
      </c>
      <c r="T46" s="62">
        <f t="shared" si="8"/>
        <v>106.64185737458843</v>
      </c>
      <c r="U46" s="70">
        <v>-5311854.620000005</v>
      </c>
      <c r="V46" s="66">
        <v>73609563.98</v>
      </c>
      <c r="W46" s="70">
        <f t="shared" si="9"/>
        <v>68297709.36</v>
      </c>
      <c r="X46" s="63">
        <f t="shared" si="10"/>
        <v>-37457359.07000001</v>
      </c>
      <c r="Y46" s="62">
        <f t="shared" si="19"/>
        <v>-35.41897294009439</v>
      </c>
      <c r="Z46" s="70">
        <v>-42803792.78000003</v>
      </c>
      <c r="AA46" s="66">
        <v>68374702.88</v>
      </c>
      <c r="AB46" s="64">
        <f t="shared" si="12"/>
        <v>25570910.099999964</v>
      </c>
      <c r="AC46" s="63">
        <f>SUM(AB46-W46)</f>
        <v>-42726799.260000035</v>
      </c>
      <c r="AD46" s="62">
        <f t="shared" si="14"/>
        <v>-62.55963730025752</v>
      </c>
      <c r="AE46" s="70">
        <v>-16887790.36</v>
      </c>
      <c r="AF46" s="66">
        <v>87349313.66000001</v>
      </c>
      <c r="AG46" s="64">
        <f t="shared" si="15"/>
        <v>70461523.30000001</v>
      </c>
      <c r="AH46" s="63">
        <f>SUM(AG46-AB46)</f>
        <v>44890613.20000005</v>
      </c>
      <c r="AI46" s="62">
        <f t="shared" si="17"/>
        <v>175.5534434419685</v>
      </c>
      <c r="AJ46" s="191"/>
    </row>
    <row r="47" spans="3:36" s="67" customFormat="1" ht="16.5" thickBot="1">
      <c r="C47" s="74">
        <f aca="true" t="shared" si="20" ref="C47:H47">SUM(C6:C46)</f>
        <v>314485395.52</v>
      </c>
      <c r="D47" s="85">
        <f t="shared" si="20"/>
        <v>212967141.87</v>
      </c>
      <c r="E47" s="74">
        <f t="shared" si="20"/>
        <v>527452537.39</v>
      </c>
      <c r="F47" s="75">
        <f t="shared" si="20"/>
        <v>305796656</v>
      </c>
      <c r="G47" s="75">
        <f t="shared" si="20"/>
        <v>245138186.06</v>
      </c>
      <c r="H47" s="175">
        <f t="shared" si="20"/>
        <v>550934842.06</v>
      </c>
      <c r="I47" s="76">
        <f t="shared" si="4"/>
        <v>23482304.669999957</v>
      </c>
      <c r="J47" s="77">
        <f t="shared" si="0"/>
        <v>4.452022315827267</v>
      </c>
      <c r="K47" s="78">
        <f>SUM(K6:K46)</f>
        <v>323999915</v>
      </c>
      <c r="L47" s="78">
        <f>SUM(L6:L46)</f>
        <v>209837247.44000003</v>
      </c>
      <c r="M47" s="78">
        <f>SUM(M6:M46)</f>
        <v>533837162.44</v>
      </c>
      <c r="N47" s="79">
        <f t="shared" si="6"/>
        <v>-17097679.619999945</v>
      </c>
      <c r="O47" s="80">
        <f t="shared" si="1"/>
        <v>-3.103394142957092</v>
      </c>
      <c r="P47" s="81">
        <f>SUM(P6:P46)</f>
        <v>344798515</v>
      </c>
      <c r="Q47" s="81">
        <f>SUM(Q6:Q46)</f>
        <v>231203544.3</v>
      </c>
      <c r="R47" s="81">
        <f>SUM(R6:R46)</f>
        <v>576002059.3</v>
      </c>
      <c r="S47" s="81">
        <f>SUM(S6:S46)</f>
        <v>42164896.86000001</v>
      </c>
      <c r="T47" s="82">
        <f t="shared" si="8"/>
        <v>7.898456650578167</v>
      </c>
      <c r="U47" s="83">
        <f>SUM(U6:U46)</f>
        <v>347966467.63</v>
      </c>
      <c r="V47" s="83">
        <f>SUM(V6:V46)</f>
        <v>300223724.49</v>
      </c>
      <c r="W47" s="83">
        <f>SUM(W6:W46)</f>
        <v>648190192.1200001</v>
      </c>
      <c r="X47" s="83">
        <f>SUM(X6:X46)</f>
        <v>72188132.82</v>
      </c>
      <c r="Y47" s="84">
        <f t="shared" si="19"/>
        <v>12.532617141634615</v>
      </c>
      <c r="Z47" s="167">
        <f>SUM(Z6:Z46)</f>
        <v>307110943.77</v>
      </c>
      <c r="AA47" s="167">
        <f>SUM(AA6:AA46)</f>
        <v>384253456.36</v>
      </c>
      <c r="AB47" s="167">
        <f>SUM(Z47:AA47)</f>
        <v>691364400.13</v>
      </c>
      <c r="AC47" s="167">
        <f>SUM(AB47-W47)</f>
        <v>43174208.00999987</v>
      </c>
      <c r="AD47" s="168">
        <f>((AB47-W47)*100)/IF(W47=0,AB47,W47)</f>
        <v>6.660731454265353</v>
      </c>
      <c r="AE47" s="192">
        <f>SUM(AE6:AE46)</f>
        <v>397475150.41999996</v>
      </c>
      <c r="AF47" s="192">
        <f>SUM(AF6:AF46)</f>
        <v>362003514.78000003</v>
      </c>
      <c r="AG47" s="192">
        <f>SUM(AE47:AF47)</f>
        <v>759478665.2</v>
      </c>
      <c r="AH47" s="192">
        <f>SUM(AG47-AB47)</f>
        <v>68114265.07000005</v>
      </c>
      <c r="AI47" s="193">
        <f>((AG47-AB47)*100)/IF(AB47=0,AG47,AB47)</f>
        <v>9.8521510591509</v>
      </c>
      <c r="AJ47" s="191"/>
    </row>
    <row r="48" spans="3:11" ht="14.25" customHeight="1" thickTop="1">
      <c r="C48" s="1"/>
      <c r="F48" s="1"/>
      <c r="G48" s="1"/>
      <c r="H48" s="1"/>
      <c r="J48" s="1"/>
      <c r="K48" s="1"/>
    </row>
    <row r="49" spans="1:18" ht="16.5" customHeight="1">
      <c r="A49" s="19" t="s">
        <v>53</v>
      </c>
      <c r="B49" s="20"/>
      <c r="C49" s="1"/>
      <c r="F49" s="1"/>
      <c r="G49" s="1"/>
      <c r="H49" s="1"/>
      <c r="J49" s="1"/>
      <c r="K49" s="1"/>
      <c r="R49" s="31"/>
    </row>
    <row r="50" spans="1:18" ht="17.25" customHeight="1" hidden="1">
      <c r="A50" s="22"/>
      <c r="B50" s="21" t="s">
        <v>48</v>
      </c>
      <c r="R50" s="32"/>
    </row>
    <row r="51" spans="1:2" ht="17.25" customHeight="1" hidden="1">
      <c r="A51" s="22"/>
      <c r="B51" s="21" t="s">
        <v>44</v>
      </c>
    </row>
    <row r="52" spans="1:8" ht="17.25" customHeight="1">
      <c r="A52" s="22"/>
      <c r="B52" s="21" t="s">
        <v>55</v>
      </c>
      <c r="G52" s="14"/>
      <c r="H52" s="14"/>
    </row>
    <row r="53" spans="2:8" ht="17.25" customHeight="1">
      <c r="B53" s="21" t="s">
        <v>64</v>
      </c>
      <c r="G53" s="14"/>
      <c r="H53" s="14"/>
    </row>
    <row r="54" spans="2:8" ht="17.25" customHeight="1">
      <c r="B54" s="21" t="s">
        <v>120</v>
      </c>
      <c r="G54" s="14"/>
      <c r="H54" s="14"/>
    </row>
    <row r="55" spans="2:8" ht="17.25" customHeight="1">
      <c r="B55" s="21" t="s">
        <v>112</v>
      </c>
      <c r="G55" s="14"/>
      <c r="H55" s="14"/>
    </row>
    <row r="56" spans="2:8" ht="17.25" customHeight="1">
      <c r="B56" s="21" t="s">
        <v>121</v>
      </c>
      <c r="G56" s="14"/>
      <c r="H56" s="14"/>
    </row>
  </sheetData>
  <sheetProtection/>
  <mergeCells count="12">
    <mergeCell ref="U4:Y4"/>
    <mergeCell ref="Z4:AD4"/>
    <mergeCell ref="A4:A5"/>
    <mergeCell ref="B4:B5"/>
    <mergeCell ref="C4:E4"/>
    <mergeCell ref="A1:AI1"/>
    <mergeCell ref="A2:AI2"/>
    <mergeCell ref="A3:AI3"/>
    <mergeCell ref="F4:J4"/>
    <mergeCell ref="K4:O4"/>
    <mergeCell ref="AE4:AI4"/>
    <mergeCell ref="P4:T4"/>
  </mergeCells>
  <printOptions/>
  <pageMargins left="0.17" right="0.2" top="0.42" bottom="0.29" header="0.44" footer="0.3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57"/>
  <sheetViews>
    <sheetView zoomScale="140" zoomScaleNormal="140" zoomScalePageLayoutView="0" workbookViewId="0" topLeftCell="A1">
      <pane xSplit="2" ySplit="6" topLeftCell="T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40" sqref="Y40"/>
    </sheetView>
  </sheetViews>
  <sheetFormatPr defaultColWidth="9.140625" defaultRowHeight="15"/>
  <cols>
    <col min="1" max="1" width="2.8515625" style="1" bestFit="1" customWidth="1"/>
    <col min="2" max="2" width="24.421875" style="1" customWidth="1"/>
    <col min="3" max="5" width="13.140625" style="1" customWidth="1"/>
    <col min="6" max="6" width="14.140625" style="3" customWidth="1"/>
    <col min="7" max="7" width="13.57421875" style="1" customWidth="1"/>
    <col min="8" max="8" width="12.7109375" style="1" customWidth="1"/>
    <col min="9" max="10" width="13.140625" style="1" customWidth="1"/>
    <col min="11" max="11" width="12.421875" style="1" customWidth="1"/>
    <col min="12" max="12" width="13.28125" style="1" customWidth="1"/>
    <col min="13" max="14" width="6.421875" style="1" hidden="1" customWidth="1"/>
    <col min="15" max="15" width="12.140625" style="1" customWidth="1"/>
    <col min="16" max="16" width="13.28125" style="1" customWidth="1"/>
    <col min="17" max="17" width="8.140625" style="1" hidden="1" customWidth="1"/>
    <col min="18" max="18" width="14.57421875" style="1" customWidth="1"/>
    <col min="19" max="20" width="13.28125" style="1" customWidth="1"/>
    <col min="21" max="21" width="10.28125" style="1" customWidth="1"/>
    <col min="22" max="22" width="13.57421875" style="1" customWidth="1"/>
    <col min="23" max="24" width="13.00390625" style="1" customWidth="1"/>
    <col min="25" max="25" width="12.421875" style="1" customWidth="1"/>
    <col min="26" max="27" width="15.28125" style="3" customWidth="1"/>
    <col min="28" max="16384" width="9.00390625" style="1" customWidth="1"/>
  </cols>
  <sheetData>
    <row r="1" spans="1:27" ht="24">
      <c r="A1" s="215" t="s">
        <v>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</row>
    <row r="2" spans="1:27" ht="24">
      <c r="A2" s="215" t="s">
        <v>107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7" ht="24">
      <c r="A3" s="216" t="s">
        <v>126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</row>
    <row r="4" spans="1:12" ht="21.75">
      <c r="A4" s="3"/>
      <c r="H4" s="129"/>
      <c r="L4" s="130"/>
    </row>
    <row r="5" spans="1:27" ht="22.5" customHeight="1">
      <c r="A5" s="217" t="s">
        <v>38</v>
      </c>
      <c r="B5" s="217" t="s">
        <v>45</v>
      </c>
      <c r="C5" s="219" t="s">
        <v>57</v>
      </c>
      <c r="D5" s="220"/>
      <c r="E5" s="220"/>
      <c r="F5" s="221"/>
      <c r="G5" s="222" t="s">
        <v>56</v>
      </c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4"/>
      <c r="AA5" s="225" t="s">
        <v>71</v>
      </c>
    </row>
    <row r="6" spans="1:27" ht="195.75">
      <c r="A6" s="218"/>
      <c r="B6" s="218"/>
      <c r="C6" s="131" t="s">
        <v>122</v>
      </c>
      <c r="D6" s="131" t="s">
        <v>123</v>
      </c>
      <c r="E6" s="131" t="s">
        <v>124</v>
      </c>
      <c r="F6" s="132" t="s">
        <v>90</v>
      </c>
      <c r="G6" s="133" t="s">
        <v>75</v>
      </c>
      <c r="H6" s="133" t="s">
        <v>76</v>
      </c>
      <c r="I6" s="133" t="s">
        <v>77</v>
      </c>
      <c r="J6" s="133" t="s">
        <v>78</v>
      </c>
      <c r="K6" s="133" t="s">
        <v>41</v>
      </c>
      <c r="L6" s="133" t="s">
        <v>128</v>
      </c>
      <c r="M6" s="183" t="s">
        <v>80</v>
      </c>
      <c r="N6" s="183" t="s">
        <v>117</v>
      </c>
      <c r="O6" s="133" t="s">
        <v>81</v>
      </c>
      <c r="P6" s="131" t="s">
        <v>82</v>
      </c>
      <c r="Q6" s="187" t="s">
        <v>94</v>
      </c>
      <c r="R6" s="134" t="s">
        <v>29</v>
      </c>
      <c r="S6" s="135" t="s">
        <v>31</v>
      </c>
      <c r="T6" s="135" t="s">
        <v>32</v>
      </c>
      <c r="U6" s="135" t="s">
        <v>62</v>
      </c>
      <c r="V6" s="135" t="s">
        <v>34</v>
      </c>
      <c r="W6" s="17" t="s">
        <v>41</v>
      </c>
      <c r="X6" s="17" t="s">
        <v>46</v>
      </c>
      <c r="Y6" s="179" t="s">
        <v>131</v>
      </c>
      <c r="Z6" s="136" t="s">
        <v>84</v>
      </c>
      <c r="AA6" s="226"/>
    </row>
    <row r="7" spans="1:27" ht="21.75">
      <c r="A7" s="4">
        <v>1</v>
      </c>
      <c r="B7" s="5" t="s">
        <v>6</v>
      </c>
      <c r="C7" s="23">
        <v>4114420</v>
      </c>
      <c r="D7" s="23">
        <v>4449500</v>
      </c>
      <c r="E7" s="23">
        <v>14500</v>
      </c>
      <c r="F7" s="137">
        <f>SUM(C7:E7)</f>
        <v>8578420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184900</v>
      </c>
      <c r="S7" s="8">
        <v>2452500</v>
      </c>
      <c r="T7" s="8">
        <v>3017742.8</v>
      </c>
      <c r="U7" s="8">
        <v>0</v>
      </c>
      <c r="V7" s="8">
        <v>0</v>
      </c>
      <c r="W7" s="8">
        <v>114500</v>
      </c>
      <c r="X7" s="8">
        <v>112500</v>
      </c>
      <c r="Y7" s="8">
        <v>2570500</v>
      </c>
      <c r="Z7" s="138">
        <f aca="true" t="shared" si="0" ref="Z7:Z44">SUM(G7:Y7)</f>
        <v>8452642.8</v>
      </c>
      <c r="AA7" s="139">
        <f aca="true" t="shared" si="1" ref="AA7:AA44">SUM(F7+Z7)</f>
        <v>17031062.8</v>
      </c>
    </row>
    <row r="8" spans="1:27" ht="21.75">
      <c r="A8" s="4">
        <v>2</v>
      </c>
      <c r="B8" s="5" t="s">
        <v>1</v>
      </c>
      <c r="C8" s="23">
        <v>26877050</v>
      </c>
      <c r="D8" s="23">
        <v>29007500</v>
      </c>
      <c r="E8" s="23">
        <v>3419375</v>
      </c>
      <c r="F8" s="137">
        <f aca="true" t="shared" si="2" ref="F8:F19">SUM(C8:E8)</f>
        <v>59303925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1765500</v>
      </c>
      <c r="S8" s="8">
        <v>275000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138">
        <f t="shared" si="0"/>
        <v>2040500</v>
      </c>
      <c r="AA8" s="139">
        <f t="shared" si="1"/>
        <v>61344425</v>
      </c>
    </row>
    <row r="9" spans="1:27" ht="21.75">
      <c r="A9" s="4">
        <v>3</v>
      </c>
      <c r="B9" s="9" t="s">
        <v>3</v>
      </c>
      <c r="C9" s="23">
        <v>27688425</v>
      </c>
      <c r="D9" s="23">
        <v>30223000</v>
      </c>
      <c r="E9" s="23">
        <v>572000</v>
      </c>
      <c r="F9" s="137">
        <f t="shared" si="2"/>
        <v>58483425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1225699.55</v>
      </c>
      <c r="S9" s="8">
        <v>9413860</v>
      </c>
      <c r="T9" s="8">
        <v>0</v>
      </c>
      <c r="U9" s="8">
        <v>0</v>
      </c>
      <c r="V9" s="8">
        <v>0</v>
      </c>
      <c r="W9" s="8">
        <v>0</v>
      </c>
      <c r="X9" s="8">
        <v>12000</v>
      </c>
      <c r="Y9" s="8">
        <v>0</v>
      </c>
      <c r="Z9" s="138">
        <f t="shared" si="0"/>
        <v>10651559.55</v>
      </c>
      <c r="AA9" s="139">
        <f t="shared" si="1"/>
        <v>69134984.55</v>
      </c>
    </row>
    <row r="10" spans="1:27" ht="18.75">
      <c r="A10" s="4">
        <v>4</v>
      </c>
      <c r="B10" s="5" t="s">
        <v>5</v>
      </c>
      <c r="C10" s="23">
        <v>10787600</v>
      </c>
      <c r="D10" s="23">
        <v>11800500</v>
      </c>
      <c r="E10" s="23">
        <v>161250</v>
      </c>
      <c r="F10" s="137">
        <f t="shared" si="2"/>
        <v>22749350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180821</v>
      </c>
      <c r="S10" s="8">
        <v>185548</v>
      </c>
      <c r="T10" s="8">
        <v>0</v>
      </c>
      <c r="U10" s="8">
        <v>0</v>
      </c>
      <c r="V10" s="8">
        <v>0</v>
      </c>
      <c r="W10" s="8">
        <v>44850</v>
      </c>
      <c r="X10" s="8">
        <v>0</v>
      </c>
      <c r="Y10" s="8">
        <v>0</v>
      </c>
      <c r="Z10" s="138">
        <f t="shared" si="0"/>
        <v>411219</v>
      </c>
      <c r="AA10" s="139">
        <f t="shared" si="1"/>
        <v>23160569</v>
      </c>
    </row>
    <row r="11" spans="1:27" ht="18.75">
      <c r="A11" s="4">
        <v>5</v>
      </c>
      <c r="B11" s="5" t="s">
        <v>7</v>
      </c>
      <c r="C11" s="23">
        <v>7373525</v>
      </c>
      <c r="D11" s="23">
        <v>7793500</v>
      </c>
      <c r="E11" s="23">
        <v>223000</v>
      </c>
      <c r="F11" s="137">
        <f t="shared" si="2"/>
        <v>15390025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1633647</v>
      </c>
      <c r="S11" s="8">
        <v>6979049</v>
      </c>
      <c r="T11" s="8">
        <v>0</v>
      </c>
      <c r="U11" s="8">
        <v>0</v>
      </c>
      <c r="V11" s="8">
        <v>0</v>
      </c>
      <c r="W11" s="8">
        <v>10000</v>
      </c>
      <c r="X11" s="8">
        <v>22652779</v>
      </c>
      <c r="Y11" s="8">
        <v>0</v>
      </c>
      <c r="Z11" s="138">
        <f t="shared" si="0"/>
        <v>31275475</v>
      </c>
      <c r="AA11" s="139">
        <f t="shared" si="1"/>
        <v>46665500</v>
      </c>
    </row>
    <row r="12" spans="1:27" s="11" customFormat="1" ht="18.75">
      <c r="A12" s="10">
        <v>6</v>
      </c>
      <c r="B12" s="5" t="s">
        <v>35</v>
      </c>
      <c r="C12" s="182">
        <v>2061450</v>
      </c>
      <c r="D12" s="182">
        <v>2218500</v>
      </c>
      <c r="E12" s="182">
        <v>427500</v>
      </c>
      <c r="F12" s="137">
        <f t="shared" si="2"/>
        <v>4707450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50100</v>
      </c>
      <c r="S12" s="8">
        <v>1639566</v>
      </c>
      <c r="T12" s="8">
        <v>3101030</v>
      </c>
      <c r="U12" s="8">
        <v>0</v>
      </c>
      <c r="V12" s="8">
        <v>0</v>
      </c>
      <c r="W12" s="8">
        <v>22000</v>
      </c>
      <c r="X12" s="8">
        <v>0</v>
      </c>
      <c r="Y12" s="8">
        <v>0</v>
      </c>
      <c r="Z12" s="138">
        <f t="shared" si="0"/>
        <v>4812696</v>
      </c>
      <c r="AA12" s="139">
        <f t="shared" si="1"/>
        <v>9520146</v>
      </c>
    </row>
    <row r="13" spans="1:27" ht="18.75">
      <c r="A13" s="4">
        <v>7</v>
      </c>
      <c r="B13" s="9" t="s">
        <v>2</v>
      </c>
      <c r="C13" s="23">
        <v>6551650</v>
      </c>
      <c r="D13" s="23">
        <v>7024000</v>
      </c>
      <c r="E13" s="23">
        <v>192000</v>
      </c>
      <c r="F13" s="137">
        <f t="shared" si="2"/>
        <v>13767650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256000</v>
      </c>
      <c r="S13" s="8">
        <v>937800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138">
        <f t="shared" si="0"/>
        <v>1193800</v>
      </c>
      <c r="AA13" s="139">
        <f t="shared" si="1"/>
        <v>14961450</v>
      </c>
    </row>
    <row r="14" spans="1:27" ht="18.75">
      <c r="A14" s="4">
        <v>8</v>
      </c>
      <c r="B14" s="5" t="s">
        <v>0</v>
      </c>
      <c r="C14" s="23">
        <v>44650600</v>
      </c>
      <c r="D14" s="23">
        <v>48894000</v>
      </c>
      <c r="E14" s="23">
        <v>2026375</v>
      </c>
      <c r="F14" s="137">
        <f t="shared" si="2"/>
        <v>95570975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1531750</v>
      </c>
      <c r="S14" s="8">
        <v>4305279.04</v>
      </c>
      <c r="T14" s="8">
        <v>0</v>
      </c>
      <c r="U14" s="8">
        <v>0</v>
      </c>
      <c r="V14" s="8">
        <v>0</v>
      </c>
      <c r="W14" s="8">
        <v>0</v>
      </c>
      <c r="X14" s="8">
        <v>2795000</v>
      </c>
      <c r="Y14" s="8">
        <v>0</v>
      </c>
      <c r="Z14" s="138">
        <f t="shared" si="0"/>
        <v>8632029.04</v>
      </c>
      <c r="AA14" s="139">
        <f t="shared" si="1"/>
        <v>104203004.03999999</v>
      </c>
    </row>
    <row r="15" spans="1:27" ht="18.75">
      <c r="A15" s="4">
        <v>9</v>
      </c>
      <c r="B15" s="9" t="s">
        <v>4</v>
      </c>
      <c r="C15" s="23">
        <v>24035850</v>
      </c>
      <c r="D15" s="23">
        <v>25254000</v>
      </c>
      <c r="E15" s="23">
        <v>3519000</v>
      </c>
      <c r="F15" s="137">
        <f t="shared" si="2"/>
        <v>52808850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4543350</v>
      </c>
      <c r="S15" s="8">
        <v>5156042</v>
      </c>
      <c r="T15" s="8">
        <v>0</v>
      </c>
      <c r="U15" s="8">
        <v>0</v>
      </c>
      <c r="V15" s="8">
        <v>0</v>
      </c>
      <c r="W15" s="8">
        <v>0</v>
      </c>
      <c r="X15" s="8">
        <v>240000</v>
      </c>
      <c r="Y15" s="8">
        <v>0</v>
      </c>
      <c r="Z15" s="138">
        <f t="shared" si="0"/>
        <v>9939392</v>
      </c>
      <c r="AA15" s="139">
        <f t="shared" si="1"/>
        <v>62748242</v>
      </c>
    </row>
    <row r="16" spans="1:27" ht="18.75">
      <c r="A16" s="4">
        <v>10</v>
      </c>
      <c r="B16" s="9" t="s">
        <v>36</v>
      </c>
      <c r="C16" s="23">
        <v>4911800</v>
      </c>
      <c r="D16" s="23">
        <v>5434000</v>
      </c>
      <c r="E16" s="23">
        <v>767000</v>
      </c>
      <c r="F16" s="137">
        <f t="shared" si="2"/>
        <v>11112800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171000</v>
      </c>
      <c r="T16" s="8">
        <v>0</v>
      </c>
      <c r="U16" s="8">
        <v>0</v>
      </c>
      <c r="V16" s="8">
        <v>0</v>
      </c>
      <c r="W16" s="8">
        <v>632000</v>
      </c>
      <c r="X16" s="8">
        <v>0</v>
      </c>
      <c r="Y16" s="8">
        <v>0</v>
      </c>
      <c r="Z16" s="138">
        <f t="shared" si="0"/>
        <v>803000</v>
      </c>
      <c r="AA16" s="139">
        <f t="shared" si="1"/>
        <v>11915800</v>
      </c>
    </row>
    <row r="17" spans="1:27" ht="18.75">
      <c r="A17" s="4">
        <v>11</v>
      </c>
      <c r="B17" s="12" t="s">
        <v>54</v>
      </c>
      <c r="C17" s="23">
        <v>2362050</v>
      </c>
      <c r="D17" s="23">
        <v>2586500</v>
      </c>
      <c r="E17" s="23">
        <v>0</v>
      </c>
      <c r="F17" s="137">
        <f t="shared" si="2"/>
        <v>4948550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169000</v>
      </c>
      <c r="S17" s="8">
        <v>1873114.21</v>
      </c>
      <c r="T17" s="8">
        <v>1535019.83</v>
      </c>
      <c r="U17" s="8">
        <v>0</v>
      </c>
      <c r="V17" s="8">
        <v>0</v>
      </c>
      <c r="W17" s="8">
        <v>188600</v>
      </c>
      <c r="X17" s="8">
        <v>140000</v>
      </c>
      <c r="Y17" s="8">
        <v>0</v>
      </c>
      <c r="Z17" s="138">
        <f t="shared" si="0"/>
        <v>3905734.04</v>
      </c>
      <c r="AA17" s="139">
        <f t="shared" si="1"/>
        <v>8854284.04</v>
      </c>
    </row>
    <row r="18" spans="1:27" s="11" customFormat="1" ht="18.75">
      <c r="A18" s="4">
        <v>12</v>
      </c>
      <c r="B18" s="9" t="s">
        <v>8</v>
      </c>
      <c r="C18" s="23">
        <v>0</v>
      </c>
      <c r="D18" s="23">
        <v>0</v>
      </c>
      <c r="E18" s="23">
        <v>0</v>
      </c>
      <c r="F18" s="140">
        <v>50829520.78</v>
      </c>
      <c r="G18" s="8">
        <v>2893630</v>
      </c>
      <c r="H18" s="8">
        <v>0</v>
      </c>
      <c r="I18" s="8">
        <v>321586.12</v>
      </c>
      <c r="J18" s="8">
        <v>76601.72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39075300</v>
      </c>
      <c r="S18" s="8">
        <v>209932</v>
      </c>
      <c r="T18" s="8">
        <v>0</v>
      </c>
      <c r="U18" s="8">
        <v>0</v>
      </c>
      <c r="V18" s="8">
        <v>0</v>
      </c>
      <c r="W18" s="8">
        <v>0</v>
      </c>
      <c r="X18" s="8">
        <v>44000</v>
      </c>
      <c r="Y18" s="8">
        <v>0</v>
      </c>
      <c r="Z18" s="138">
        <f t="shared" si="0"/>
        <v>42621049.84</v>
      </c>
      <c r="AA18" s="139">
        <f t="shared" si="1"/>
        <v>93450570.62</v>
      </c>
    </row>
    <row r="19" spans="1:27" ht="18.75">
      <c r="A19" s="4">
        <v>13</v>
      </c>
      <c r="B19" s="9" t="s">
        <v>37</v>
      </c>
      <c r="C19" s="23">
        <v>1534500</v>
      </c>
      <c r="D19" s="23">
        <v>710000</v>
      </c>
      <c r="E19" s="23">
        <v>0</v>
      </c>
      <c r="F19" s="137">
        <f t="shared" si="2"/>
        <v>2244500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366582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38">
        <f t="shared" si="0"/>
        <v>366582</v>
      </c>
      <c r="AA19" s="139">
        <f t="shared" si="1"/>
        <v>2611082</v>
      </c>
    </row>
    <row r="20" spans="1:27" ht="18.75">
      <c r="A20" s="4">
        <v>14</v>
      </c>
      <c r="B20" s="9" t="s">
        <v>9</v>
      </c>
      <c r="C20" s="23">
        <v>0</v>
      </c>
      <c r="D20" s="23">
        <v>0</v>
      </c>
      <c r="E20" s="23">
        <v>0</v>
      </c>
      <c r="F20" s="137">
        <f>SUM(C20:E20)</f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138">
        <f t="shared" si="0"/>
        <v>0</v>
      </c>
      <c r="AA20" s="139">
        <f t="shared" si="1"/>
        <v>0</v>
      </c>
    </row>
    <row r="21" spans="1:27" ht="18.75">
      <c r="A21" s="4">
        <v>15</v>
      </c>
      <c r="B21" s="9" t="s">
        <v>14</v>
      </c>
      <c r="C21" s="23">
        <v>0</v>
      </c>
      <c r="D21" s="23">
        <v>0</v>
      </c>
      <c r="E21" s="23">
        <v>0</v>
      </c>
      <c r="F21" s="141">
        <f aca="true" t="shared" si="3" ref="F21:F43">SUM(C21:E21)</f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672200</v>
      </c>
      <c r="T21" s="8">
        <v>565667.38</v>
      </c>
      <c r="U21" s="8">
        <v>0</v>
      </c>
      <c r="V21" s="8">
        <v>0</v>
      </c>
      <c r="W21" s="8">
        <v>11843.5</v>
      </c>
      <c r="X21" s="8">
        <v>0</v>
      </c>
      <c r="Y21" s="8">
        <v>0</v>
      </c>
      <c r="Z21" s="138">
        <f t="shared" si="0"/>
        <v>1249710.88</v>
      </c>
      <c r="AA21" s="139">
        <f t="shared" si="1"/>
        <v>1249710.88</v>
      </c>
    </row>
    <row r="22" spans="1:27" ht="18.75">
      <c r="A22" s="4">
        <v>16</v>
      </c>
      <c r="B22" s="9" t="s">
        <v>15</v>
      </c>
      <c r="C22" s="23">
        <v>0</v>
      </c>
      <c r="D22" s="23">
        <v>0</v>
      </c>
      <c r="E22" s="23">
        <v>0</v>
      </c>
      <c r="F22" s="141">
        <f t="shared" si="3"/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868900</v>
      </c>
      <c r="S22" s="8">
        <v>3619337</v>
      </c>
      <c r="T22" s="8">
        <v>734174.98</v>
      </c>
      <c r="U22" s="8">
        <v>0</v>
      </c>
      <c r="V22" s="8">
        <v>0</v>
      </c>
      <c r="W22" s="8">
        <v>0</v>
      </c>
      <c r="X22" s="8">
        <v>225850</v>
      </c>
      <c r="Y22" s="8">
        <v>0</v>
      </c>
      <c r="Z22" s="138">
        <f t="shared" si="0"/>
        <v>5448261.98</v>
      </c>
      <c r="AA22" s="139">
        <f t="shared" si="1"/>
        <v>5448261.98</v>
      </c>
    </row>
    <row r="23" spans="1:27" ht="18.75">
      <c r="A23" s="4">
        <v>17</v>
      </c>
      <c r="B23" s="5" t="s">
        <v>17</v>
      </c>
      <c r="C23" s="23">
        <v>0</v>
      </c>
      <c r="D23" s="23">
        <v>0</v>
      </c>
      <c r="E23" s="23">
        <v>0</v>
      </c>
      <c r="F23" s="141">
        <f t="shared" si="3"/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500000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138">
        <f t="shared" si="0"/>
        <v>500000</v>
      </c>
      <c r="AA23" s="139">
        <f t="shared" si="1"/>
        <v>500000</v>
      </c>
    </row>
    <row r="24" spans="1:27" ht="18.75">
      <c r="A24" s="4">
        <v>18</v>
      </c>
      <c r="B24" s="9" t="s">
        <v>11</v>
      </c>
      <c r="C24" s="23">
        <v>0</v>
      </c>
      <c r="D24" s="23">
        <v>0</v>
      </c>
      <c r="E24" s="23">
        <v>0</v>
      </c>
      <c r="F24" s="141">
        <f t="shared" si="3"/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3664340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138">
        <f t="shared" si="0"/>
        <v>3664340</v>
      </c>
      <c r="AA24" s="139">
        <f t="shared" si="1"/>
        <v>3664340</v>
      </c>
    </row>
    <row r="25" spans="1:27" ht="18.75">
      <c r="A25" s="4">
        <v>19</v>
      </c>
      <c r="B25" s="9" t="s">
        <v>13</v>
      </c>
      <c r="C25" s="23">
        <v>0</v>
      </c>
      <c r="D25" s="23">
        <v>0</v>
      </c>
      <c r="E25" s="23">
        <v>0</v>
      </c>
      <c r="F25" s="141">
        <f t="shared" si="3"/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179700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8">
        <f t="shared" si="0"/>
        <v>179700</v>
      </c>
      <c r="AA25" s="139">
        <f t="shared" si="1"/>
        <v>179700</v>
      </c>
    </row>
    <row r="26" spans="1:27" ht="18.75">
      <c r="A26" s="4">
        <v>20</v>
      </c>
      <c r="B26" s="9" t="s">
        <v>10</v>
      </c>
      <c r="C26" s="23">
        <v>0</v>
      </c>
      <c r="D26" s="23">
        <v>0</v>
      </c>
      <c r="E26" s="23">
        <v>0</v>
      </c>
      <c r="F26" s="141">
        <f t="shared" si="3"/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1000</v>
      </c>
      <c r="Y26" s="8">
        <v>0</v>
      </c>
      <c r="Z26" s="138">
        <f t="shared" si="0"/>
        <v>1000</v>
      </c>
      <c r="AA26" s="139">
        <f t="shared" si="1"/>
        <v>1000</v>
      </c>
    </row>
    <row r="27" spans="1:27" ht="18.75">
      <c r="A27" s="4">
        <v>21</v>
      </c>
      <c r="B27" s="5" t="s">
        <v>12</v>
      </c>
      <c r="C27" s="23">
        <v>0</v>
      </c>
      <c r="D27" s="23">
        <v>0</v>
      </c>
      <c r="E27" s="23">
        <v>0</v>
      </c>
      <c r="F27" s="141">
        <f t="shared" si="3"/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138">
        <f t="shared" si="0"/>
        <v>0</v>
      </c>
      <c r="AA27" s="139">
        <f t="shared" si="1"/>
        <v>0</v>
      </c>
    </row>
    <row r="28" spans="1:27" ht="18.75">
      <c r="A28" s="4">
        <v>22</v>
      </c>
      <c r="B28" s="9" t="s">
        <v>27</v>
      </c>
      <c r="C28" s="23">
        <v>0</v>
      </c>
      <c r="D28" s="23">
        <v>0</v>
      </c>
      <c r="E28" s="23">
        <v>0</v>
      </c>
      <c r="F28" s="141">
        <f t="shared" si="3"/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2787.2799999999997</v>
      </c>
      <c r="W28" s="8">
        <v>0</v>
      </c>
      <c r="X28" s="8">
        <v>0</v>
      </c>
      <c r="Y28" s="8">
        <v>0</v>
      </c>
      <c r="Z28" s="138">
        <f t="shared" si="0"/>
        <v>2787.2799999999997</v>
      </c>
      <c r="AA28" s="139">
        <f t="shared" si="1"/>
        <v>2787.2799999999997</v>
      </c>
    </row>
    <row r="29" spans="1:27" ht="18.75">
      <c r="A29" s="4">
        <v>23</v>
      </c>
      <c r="B29" s="5" t="s">
        <v>28</v>
      </c>
      <c r="C29" s="23">
        <v>0</v>
      </c>
      <c r="D29" s="23">
        <v>0</v>
      </c>
      <c r="E29" s="23">
        <v>0</v>
      </c>
      <c r="F29" s="141">
        <f t="shared" si="3"/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31995133.01</v>
      </c>
      <c r="W29" s="8">
        <v>0</v>
      </c>
      <c r="X29" s="8">
        <v>0</v>
      </c>
      <c r="Y29" s="8">
        <v>0</v>
      </c>
      <c r="Z29" s="138">
        <f t="shared" si="0"/>
        <v>31995133.01</v>
      </c>
      <c r="AA29" s="139">
        <f t="shared" si="1"/>
        <v>31995133.01</v>
      </c>
    </row>
    <row r="30" spans="1:27" ht="18.75">
      <c r="A30" s="4">
        <v>24</v>
      </c>
      <c r="B30" s="9" t="s">
        <v>18</v>
      </c>
      <c r="C30" s="23">
        <v>0</v>
      </c>
      <c r="D30" s="23">
        <v>0</v>
      </c>
      <c r="E30" s="23">
        <v>0</v>
      </c>
      <c r="F30" s="141">
        <f t="shared" si="3"/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34600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139794.45</v>
      </c>
      <c r="Y30" s="8">
        <v>0</v>
      </c>
      <c r="Z30" s="138">
        <f t="shared" si="0"/>
        <v>174394.45</v>
      </c>
      <c r="AA30" s="139">
        <f t="shared" si="1"/>
        <v>174394.45</v>
      </c>
    </row>
    <row r="31" spans="1:27" ht="18.75">
      <c r="A31" s="4">
        <v>25</v>
      </c>
      <c r="B31" s="9" t="s">
        <v>19</v>
      </c>
      <c r="C31" s="23">
        <v>0</v>
      </c>
      <c r="D31" s="23">
        <v>0</v>
      </c>
      <c r="E31" s="23">
        <v>0</v>
      </c>
      <c r="F31" s="141">
        <f t="shared" si="3"/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138">
        <f t="shared" si="0"/>
        <v>0</v>
      </c>
      <c r="AA31" s="139">
        <f t="shared" si="1"/>
        <v>0</v>
      </c>
    </row>
    <row r="32" spans="1:27" ht="18.75">
      <c r="A32" s="4">
        <v>26</v>
      </c>
      <c r="B32" s="9" t="s">
        <v>20</v>
      </c>
      <c r="C32" s="23">
        <v>0</v>
      </c>
      <c r="D32" s="23">
        <v>0</v>
      </c>
      <c r="E32" s="23">
        <v>0</v>
      </c>
      <c r="F32" s="141">
        <f t="shared" si="3"/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1500000</v>
      </c>
      <c r="X32" s="8">
        <v>0</v>
      </c>
      <c r="Y32" s="8">
        <v>0</v>
      </c>
      <c r="Z32" s="138">
        <f t="shared" si="0"/>
        <v>1500000</v>
      </c>
      <c r="AA32" s="139">
        <f t="shared" si="1"/>
        <v>1500000</v>
      </c>
    </row>
    <row r="33" spans="1:27" ht="18.75">
      <c r="A33" s="4">
        <v>27</v>
      </c>
      <c r="B33" s="9" t="s">
        <v>21</v>
      </c>
      <c r="C33" s="23">
        <v>0</v>
      </c>
      <c r="D33" s="23">
        <v>0</v>
      </c>
      <c r="E33" s="23">
        <v>0</v>
      </c>
      <c r="F33" s="141">
        <f t="shared" si="3"/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2000000</v>
      </c>
      <c r="X33" s="8">
        <v>3269960</v>
      </c>
      <c r="Y33" s="8">
        <v>0</v>
      </c>
      <c r="Z33" s="138">
        <f t="shared" si="0"/>
        <v>5269960</v>
      </c>
      <c r="AA33" s="139">
        <f t="shared" si="1"/>
        <v>5269960</v>
      </c>
    </row>
    <row r="34" spans="1:27" ht="18.75">
      <c r="A34" s="4">
        <v>28</v>
      </c>
      <c r="B34" s="9" t="s">
        <v>49</v>
      </c>
      <c r="C34" s="23">
        <v>0</v>
      </c>
      <c r="D34" s="23">
        <v>0</v>
      </c>
      <c r="E34" s="23">
        <v>0</v>
      </c>
      <c r="F34" s="141">
        <f>SUM(C34:E34)</f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8519420</v>
      </c>
      <c r="X34" s="8">
        <v>1074070</v>
      </c>
      <c r="Y34" s="8">
        <v>0</v>
      </c>
      <c r="Z34" s="138">
        <f t="shared" si="0"/>
        <v>9593490</v>
      </c>
      <c r="AA34" s="139">
        <f t="shared" si="1"/>
        <v>9593490</v>
      </c>
    </row>
    <row r="35" spans="1:27" ht="18.75">
      <c r="A35" s="4">
        <v>29</v>
      </c>
      <c r="B35" s="9" t="s">
        <v>22</v>
      </c>
      <c r="C35" s="23">
        <v>0</v>
      </c>
      <c r="D35" s="23">
        <v>0</v>
      </c>
      <c r="E35" s="23">
        <v>0</v>
      </c>
      <c r="F35" s="141">
        <f t="shared" si="3"/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1573569.27</v>
      </c>
      <c r="U35" s="8">
        <v>0</v>
      </c>
      <c r="V35" s="8">
        <v>0</v>
      </c>
      <c r="W35" s="8">
        <v>915326</v>
      </c>
      <c r="X35" s="8">
        <v>348318</v>
      </c>
      <c r="Y35" s="8">
        <v>0</v>
      </c>
      <c r="Z35" s="138">
        <f t="shared" si="0"/>
        <v>2837213.27</v>
      </c>
      <c r="AA35" s="139">
        <f t="shared" si="1"/>
        <v>2837213.27</v>
      </c>
    </row>
    <row r="36" spans="1:27" ht="18.75">
      <c r="A36" s="4">
        <v>30</v>
      </c>
      <c r="B36" s="9" t="s">
        <v>23</v>
      </c>
      <c r="C36" s="23">
        <v>0</v>
      </c>
      <c r="D36" s="23">
        <v>0</v>
      </c>
      <c r="E36" s="23">
        <v>0</v>
      </c>
      <c r="F36" s="141">
        <f t="shared" si="3"/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4188658.93</v>
      </c>
      <c r="U36" s="8">
        <v>0</v>
      </c>
      <c r="V36" s="8">
        <v>0</v>
      </c>
      <c r="W36" s="8">
        <v>1800</v>
      </c>
      <c r="X36" s="8">
        <v>0</v>
      </c>
      <c r="Y36" s="8">
        <v>0</v>
      </c>
      <c r="Z36" s="138">
        <f t="shared" si="0"/>
        <v>4190458.93</v>
      </c>
      <c r="AA36" s="139">
        <f t="shared" si="1"/>
        <v>4190458.93</v>
      </c>
    </row>
    <row r="37" spans="1:27" ht="18.75">
      <c r="A37" s="4">
        <v>31</v>
      </c>
      <c r="B37" s="9" t="s">
        <v>24</v>
      </c>
      <c r="C37" s="23">
        <v>0</v>
      </c>
      <c r="D37" s="23">
        <v>0</v>
      </c>
      <c r="E37" s="23">
        <v>0</v>
      </c>
      <c r="F37" s="141">
        <f t="shared" si="3"/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f>158439.76+225972.24</f>
        <v>384412</v>
      </c>
      <c r="U37" s="8">
        <v>0</v>
      </c>
      <c r="V37" s="8">
        <v>0</v>
      </c>
      <c r="W37" s="8">
        <v>-192804.79</v>
      </c>
      <c r="X37" s="8">
        <v>692000</v>
      </c>
      <c r="Y37" s="8">
        <v>0</v>
      </c>
      <c r="Z37" s="138">
        <f t="shared" si="0"/>
        <v>883607.21</v>
      </c>
      <c r="AA37" s="139">
        <f t="shared" si="1"/>
        <v>883607.21</v>
      </c>
    </row>
    <row r="38" spans="1:27" ht="18.75">
      <c r="A38" s="4">
        <v>32</v>
      </c>
      <c r="B38" s="12" t="s">
        <v>50</v>
      </c>
      <c r="C38" s="23">
        <v>0</v>
      </c>
      <c r="D38" s="23">
        <v>0</v>
      </c>
      <c r="E38" s="23">
        <v>0</v>
      </c>
      <c r="F38" s="141">
        <f t="shared" si="3"/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138">
        <f t="shared" si="0"/>
        <v>0</v>
      </c>
      <c r="AA38" s="139">
        <f t="shared" si="1"/>
        <v>0</v>
      </c>
    </row>
    <row r="39" spans="1:27" ht="18.75">
      <c r="A39" s="4">
        <v>33</v>
      </c>
      <c r="B39" s="12" t="s">
        <v>63</v>
      </c>
      <c r="C39" s="23">
        <v>0</v>
      </c>
      <c r="D39" s="23">
        <v>0</v>
      </c>
      <c r="E39" s="23">
        <v>0</v>
      </c>
      <c r="F39" s="141">
        <f t="shared" si="3"/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44321170</v>
      </c>
      <c r="S39" s="8">
        <v>922108</v>
      </c>
      <c r="T39" s="8">
        <v>18233867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138">
        <f t="shared" si="0"/>
        <v>63477145</v>
      </c>
      <c r="AA39" s="139">
        <f t="shared" si="1"/>
        <v>63477145</v>
      </c>
    </row>
    <row r="40" spans="1:27" ht="18.75">
      <c r="A40" s="4">
        <v>34</v>
      </c>
      <c r="B40" s="12" t="s">
        <v>68</v>
      </c>
      <c r="C40" s="23">
        <v>0</v>
      </c>
      <c r="D40" s="23">
        <v>0</v>
      </c>
      <c r="E40" s="23">
        <v>0</v>
      </c>
      <c r="F40" s="141">
        <f t="shared" si="3"/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467100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138">
        <f t="shared" si="0"/>
        <v>467100</v>
      </c>
      <c r="AA40" s="139">
        <f t="shared" si="1"/>
        <v>467100</v>
      </c>
    </row>
    <row r="41" spans="1:27" ht="18.75">
      <c r="A41" s="4">
        <v>35</v>
      </c>
      <c r="B41" s="12" t="s">
        <v>111</v>
      </c>
      <c r="C41" s="28">
        <v>0</v>
      </c>
      <c r="D41" s="28">
        <v>0</v>
      </c>
      <c r="E41" s="28">
        <v>0</v>
      </c>
      <c r="F41" s="141">
        <v>13867500</v>
      </c>
      <c r="G41" s="8">
        <v>1740000</v>
      </c>
      <c r="H41" s="8">
        <v>0</v>
      </c>
      <c r="I41" s="8">
        <v>13969277.46</v>
      </c>
      <c r="J41" s="8">
        <v>10822.59</v>
      </c>
      <c r="K41" s="8">
        <v>0</v>
      </c>
      <c r="L41" s="8">
        <v>1191840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25600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466088</v>
      </c>
      <c r="Y41" s="8">
        <v>0</v>
      </c>
      <c r="Z41" s="138">
        <f t="shared" si="0"/>
        <v>17403628.05</v>
      </c>
      <c r="AA41" s="139">
        <f t="shared" si="1"/>
        <v>31271128.05</v>
      </c>
    </row>
    <row r="42" spans="1:27" ht="18.75">
      <c r="A42" s="4">
        <v>36</v>
      </c>
      <c r="B42" s="12" t="s">
        <v>127</v>
      </c>
      <c r="C42" s="28">
        <v>0</v>
      </c>
      <c r="D42" s="28">
        <v>0</v>
      </c>
      <c r="E42" s="28">
        <v>0</v>
      </c>
      <c r="F42" s="141">
        <f t="shared" si="3"/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500000</v>
      </c>
      <c r="Y42" s="8">
        <v>0</v>
      </c>
      <c r="Z42" s="138">
        <f t="shared" si="0"/>
        <v>500000</v>
      </c>
      <c r="AA42" s="139">
        <f t="shared" si="1"/>
        <v>500000</v>
      </c>
    </row>
    <row r="43" spans="1:27" ht="18.75">
      <c r="A43" s="4" t="s">
        <v>47</v>
      </c>
      <c r="B43" s="12" t="s">
        <v>43</v>
      </c>
      <c r="C43" s="23">
        <v>0</v>
      </c>
      <c r="D43" s="23">
        <v>0</v>
      </c>
      <c r="E43" s="23">
        <v>0</v>
      </c>
      <c r="F43" s="141">
        <f t="shared" si="3"/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210591.79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138">
        <f t="shared" si="0"/>
        <v>210591.79</v>
      </c>
      <c r="AA43" s="139">
        <f t="shared" si="1"/>
        <v>210591.79</v>
      </c>
    </row>
    <row r="44" spans="1:27" s="11" customFormat="1" ht="21" customHeight="1">
      <c r="A44" s="10" t="s">
        <v>40</v>
      </c>
      <c r="B44" s="12" t="s">
        <v>39</v>
      </c>
      <c r="C44" s="142"/>
      <c r="D44" s="143">
        <v>-16887790.36</v>
      </c>
      <c r="E44" s="144"/>
      <c r="F44" s="145">
        <f>SUM(C44:E44)</f>
        <v>-16887790.36</v>
      </c>
      <c r="G44" s="8">
        <v>6139305</v>
      </c>
      <c r="H44" s="8">
        <v>6515150</v>
      </c>
      <c r="I44" s="8">
        <v>34059178.1</v>
      </c>
      <c r="J44" s="8">
        <v>10832751.78</v>
      </c>
      <c r="K44" s="8">
        <v>9901.69</v>
      </c>
      <c r="L44" s="8">
        <v>21146156.44</v>
      </c>
      <c r="M44" s="8">
        <v>0</v>
      </c>
      <c r="N44" s="8">
        <v>0</v>
      </c>
      <c r="O44" s="8">
        <f>6750781.65+3033025-2570500</f>
        <v>7213306.65</v>
      </c>
      <c r="P44" s="8">
        <v>1433564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138">
        <f t="shared" si="0"/>
        <v>87349313.66000001</v>
      </c>
      <c r="AA44" s="139">
        <f t="shared" si="1"/>
        <v>70461523.30000001</v>
      </c>
    </row>
    <row r="45" spans="3:27" s="11" customFormat="1" ht="19.5" thickBot="1">
      <c r="C45" s="26"/>
      <c r="D45" s="26"/>
      <c r="E45" s="26"/>
      <c r="F45" s="146">
        <f aca="true" t="shared" si="4" ref="F45:Y45">SUM(F7:F44)</f>
        <v>397475150.41999996</v>
      </c>
      <c r="G45" s="13">
        <f t="shared" si="4"/>
        <v>10772935</v>
      </c>
      <c r="H45" s="13">
        <f t="shared" si="4"/>
        <v>6515150</v>
      </c>
      <c r="I45" s="13">
        <f t="shared" si="4"/>
        <v>48350041.68</v>
      </c>
      <c r="J45" s="13">
        <f t="shared" si="4"/>
        <v>10920176.09</v>
      </c>
      <c r="K45" s="13">
        <f t="shared" si="4"/>
        <v>9901.69</v>
      </c>
      <c r="L45" s="13">
        <f t="shared" si="4"/>
        <v>22337996.44</v>
      </c>
      <c r="M45" s="13">
        <f t="shared" si="4"/>
        <v>0</v>
      </c>
      <c r="N45" s="13">
        <f t="shared" si="4"/>
        <v>0</v>
      </c>
      <c r="O45" s="13">
        <f t="shared" si="4"/>
        <v>7213306.65</v>
      </c>
      <c r="P45" s="13">
        <f t="shared" si="4"/>
        <v>1433564</v>
      </c>
      <c r="Q45" s="13">
        <f t="shared" si="4"/>
        <v>0</v>
      </c>
      <c r="R45" s="13">
        <f t="shared" si="4"/>
        <v>100177477.55</v>
      </c>
      <c r="S45" s="13">
        <f t="shared" si="4"/>
        <v>39678917.25</v>
      </c>
      <c r="T45" s="13">
        <f t="shared" si="4"/>
        <v>33544733.979999997</v>
      </c>
      <c r="U45" s="13">
        <f t="shared" si="4"/>
        <v>0</v>
      </c>
      <c r="V45" s="13">
        <f t="shared" si="4"/>
        <v>31997920.290000003</v>
      </c>
      <c r="W45" s="13">
        <f t="shared" si="4"/>
        <v>13767534.71</v>
      </c>
      <c r="X45" s="13">
        <f t="shared" si="4"/>
        <v>32713359.45</v>
      </c>
      <c r="Y45" s="13">
        <f t="shared" si="4"/>
        <v>2570500</v>
      </c>
      <c r="Z45" s="147">
        <f>SUM(Z7:Z44)</f>
        <v>362003514.78000003</v>
      </c>
      <c r="AA45" s="148">
        <f>SUM(AA7:AA44)</f>
        <v>759478665.2</v>
      </c>
    </row>
    <row r="46" spans="3:27" ht="19.5" thickTop="1">
      <c r="C46" s="26"/>
      <c r="D46" s="26"/>
      <c r="E46" s="26"/>
      <c r="F46" s="14"/>
      <c r="R46" s="26"/>
      <c r="S46" s="26"/>
      <c r="AA46" s="14"/>
    </row>
    <row r="47" spans="1:19" s="36" customFormat="1" ht="21">
      <c r="A47" s="33" t="s">
        <v>53</v>
      </c>
      <c r="B47" s="34"/>
      <c r="C47" s="35"/>
      <c r="D47" s="149"/>
      <c r="E47" s="150"/>
      <c r="F47" s="151"/>
      <c r="R47" s="184"/>
      <c r="S47" s="184"/>
    </row>
    <row r="48" spans="1:6" s="36" customFormat="1" ht="21">
      <c r="A48" s="22"/>
      <c r="B48" s="37" t="s">
        <v>121</v>
      </c>
      <c r="C48" s="16"/>
      <c r="D48" s="16"/>
      <c r="E48" s="151"/>
      <c r="F48" s="151"/>
    </row>
    <row r="49" spans="3:27" s="16" customFormat="1" ht="21">
      <c r="C49" s="152"/>
      <c r="D49" s="152"/>
      <c r="E49" s="152"/>
      <c r="F49" s="185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5"/>
      <c r="AA49" s="185"/>
    </row>
    <row r="50" spans="2:6" ht="18.75">
      <c r="B50" s="170"/>
      <c r="F50" s="14"/>
    </row>
    <row r="51" ht="18.75">
      <c r="F51" s="15"/>
    </row>
    <row r="52" ht="18.75">
      <c r="F52" s="14"/>
    </row>
    <row r="53" spans="5:27" ht="18.75">
      <c r="E53" s="169" t="s">
        <v>113</v>
      </c>
      <c r="F53" s="26">
        <v>397475150.42</v>
      </c>
      <c r="AA53" s="14"/>
    </row>
    <row r="54" spans="5:27" ht="18.75">
      <c r="E54" s="169" t="s">
        <v>129</v>
      </c>
      <c r="F54" s="26">
        <f>SUM(F7:F43)</f>
        <v>414362940.78</v>
      </c>
      <c r="AA54" s="14"/>
    </row>
    <row r="55" ht="18.75">
      <c r="F55" s="26">
        <f>SUM(F53-F54)</f>
        <v>-16887790.359999955</v>
      </c>
    </row>
    <row r="56" ht="18.75">
      <c r="F56" s="188">
        <f>SUM(F45-F53)</f>
        <v>-5.960464477539063E-08</v>
      </c>
    </row>
    <row r="57" ht="18.75">
      <c r="F57" s="14"/>
    </row>
  </sheetData>
  <sheetProtection/>
  <mergeCells count="8">
    <mergeCell ref="A1:AA1"/>
    <mergeCell ref="A2:AA2"/>
    <mergeCell ref="A3:AA3"/>
    <mergeCell ref="A5:A6"/>
    <mergeCell ref="B5:B6"/>
    <mergeCell ref="C5:F5"/>
    <mergeCell ref="G5:Z5"/>
    <mergeCell ref="AA5:AA6"/>
  </mergeCells>
  <printOptions/>
  <pageMargins left="0.17" right="0.15748031496062992" top="0.7480314960629921" bottom="0.7480314960629921" header="0.31496062992125984" footer="0.31496062992125984"/>
  <pageSetup horizontalDpi="600" verticalDpi="600" orientation="landscape" paperSize="9" scale="39" r:id="rId3"/>
  <rowBreaks count="1" manualBreakCount="1"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56"/>
  <sheetViews>
    <sheetView zoomScalePageLayoutView="0" workbookViewId="0" topLeftCell="A1">
      <pane xSplit="2" ySplit="6" topLeftCell="M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53" sqref="F53"/>
    </sheetView>
  </sheetViews>
  <sheetFormatPr defaultColWidth="9.140625" defaultRowHeight="15"/>
  <cols>
    <col min="1" max="1" width="2.8515625" style="1" bestFit="1" customWidth="1"/>
    <col min="2" max="2" width="32.57421875" style="1" customWidth="1"/>
    <col min="3" max="5" width="13.140625" style="1" customWidth="1"/>
    <col min="6" max="6" width="14.140625" style="3" customWidth="1"/>
    <col min="7" max="7" width="12.421875" style="1" customWidth="1"/>
    <col min="8" max="8" width="12.7109375" style="1" customWidth="1"/>
    <col min="9" max="10" width="13.140625" style="1" customWidth="1"/>
    <col min="11" max="11" width="12.421875" style="1" customWidth="1"/>
    <col min="12" max="12" width="12.00390625" style="1" customWidth="1"/>
    <col min="13" max="15" width="12.140625" style="1" customWidth="1"/>
    <col min="16" max="16" width="13.28125" style="1" customWidth="1"/>
    <col min="17" max="17" width="12.28125" style="1" customWidth="1"/>
    <col min="18" max="18" width="14.57421875" style="1" customWidth="1"/>
    <col min="19" max="20" width="13.28125" style="1" customWidth="1"/>
    <col min="21" max="21" width="10.28125" style="1" customWidth="1"/>
    <col min="22" max="22" width="13.57421875" style="1" customWidth="1"/>
    <col min="23" max="24" width="13.00390625" style="1" customWidth="1"/>
    <col min="25" max="25" width="11.421875" style="1" hidden="1" customWidth="1"/>
    <col min="26" max="27" width="15.28125" style="3" customWidth="1"/>
    <col min="28" max="16384" width="9.00390625" style="1" customWidth="1"/>
  </cols>
  <sheetData>
    <row r="1" spans="1:27" ht="24">
      <c r="A1" s="215" t="s">
        <v>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</row>
    <row r="2" spans="1:27" ht="24">
      <c r="A2" s="215" t="s">
        <v>107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7" ht="24">
      <c r="A3" s="216" t="s">
        <v>114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</row>
    <row r="4" spans="1:12" ht="21.75">
      <c r="A4" s="3"/>
      <c r="H4" s="129"/>
      <c r="L4" s="130"/>
    </row>
    <row r="5" spans="1:27" ht="22.5" customHeight="1">
      <c r="A5" s="217" t="s">
        <v>38</v>
      </c>
      <c r="B5" s="217" t="s">
        <v>45</v>
      </c>
      <c r="C5" s="219" t="s">
        <v>57</v>
      </c>
      <c r="D5" s="220"/>
      <c r="E5" s="220"/>
      <c r="F5" s="221"/>
      <c r="G5" s="222" t="s">
        <v>56</v>
      </c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4"/>
      <c r="AA5" s="225" t="s">
        <v>71</v>
      </c>
    </row>
    <row r="6" spans="1:27" ht="130.5">
      <c r="A6" s="218"/>
      <c r="B6" s="218"/>
      <c r="C6" s="131" t="s">
        <v>108</v>
      </c>
      <c r="D6" s="131" t="s">
        <v>109</v>
      </c>
      <c r="E6" s="131" t="s">
        <v>110</v>
      </c>
      <c r="F6" s="132" t="s">
        <v>90</v>
      </c>
      <c r="G6" s="133" t="s">
        <v>75</v>
      </c>
      <c r="H6" s="133" t="s">
        <v>76</v>
      </c>
      <c r="I6" s="133" t="s">
        <v>77</v>
      </c>
      <c r="J6" s="133" t="s">
        <v>78</v>
      </c>
      <c r="K6" s="133" t="s">
        <v>41</v>
      </c>
      <c r="L6" s="133" t="s">
        <v>79</v>
      </c>
      <c r="M6" s="133" t="s">
        <v>80</v>
      </c>
      <c r="N6" s="133" t="s">
        <v>117</v>
      </c>
      <c r="O6" s="133" t="s">
        <v>81</v>
      </c>
      <c r="P6" s="131" t="s">
        <v>82</v>
      </c>
      <c r="Q6" s="131" t="s">
        <v>94</v>
      </c>
      <c r="R6" s="134" t="s">
        <v>29</v>
      </c>
      <c r="S6" s="135" t="s">
        <v>31</v>
      </c>
      <c r="T6" s="135" t="s">
        <v>32</v>
      </c>
      <c r="U6" s="135" t="s">
        <v>62</v>
      </c>
      <c r="V6" s="135" t="s">
        <v>34</v>
      </c>
      <c r="W6" s="17" t="s">
        <v>41</v>
      </c>
      <c r="X6" s="17" t="s">
        <v>46</v>
      </c>
      <c r="Y6" s="18" t="s">
        <v>65</v>
      </c>
      <c r="Z6" s="136" t="s">
        <v>84</v>
      </c>
      <c r="AA6" s="226"/>
    </row>
    <row r="7" spans="1:27" ht="18.75">
      <c r="A7" s="4">
        <v>1</v>
      </c>
      <c r="B7" s="5" t="s">
        <v>6</v>
      </c>
      <c r="C7" s="23">
        <v>4785890</v>
      </c>
      <c r="D7" s="23">
        <v>3654780</v>
      </c>
      <c r="E7" s="23">
        <v>27550</v>
      </c>
      <c r="F7" s="137">
        <f>SUM(C7:E7)</f>
        <v>8468220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182500</v>
      </c>
      <c r="S7" s="8">
        <v>1300746</v>
      </c>
      <c r="T7" s="8">
        <v>4628244.01</v>
      </c>
      <c r="U7" s="8">
        <v>0</v>
      </c>
      <c r="V7" s="8">
        <v>0</v>
      </c>
      <c r="W7" s="8">
        <v>100000</v>
      </c>
      <c r="X7" s="8">
        <v>0</v>
      </c>
      <c r="Y7" s="8">
        <v>0</v>
      </c>
      <c r="Z7" s="138">
        <f aca="true" t="shared" si="0" ref="Z7:Z43">SUM(G7:Y7)</f>
        <v>6211490.01</v>
      </c>
      <c r="AA7" s="139">
        <f aca="true" t="shared" si="1" ref="AA7:AA43">SUM(F7+Z7)</f>
        <v>14679710.01</v>
      </c>
    </row>
    <row r="8" spans="1:27" ht="18.75">
      <c r="A8" s="4">
        <v>2</v>
      </c>
      <c r="B8" s="5" t="s">
        <v>1</v>
      </c>
      <c r="C8" s="23">
        <v>29631950</v>
      </c>
      <c r="D8" s="23">
        <v>23517250</v>
      </c>
      <c r="E8" s="23">
        <v>2675250</v>
      </c>
      <c r="F8" s="137">
        <f aca="true" t="shared" si="2" ref="F8:F19">SUM(C8:E8)</f>
        <v>55824450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2425750</v>
      </c>
      <c r="S8" s="8">
        <v>749444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138">
        <f t="shared" si="0"/>
        <v>3175194</v>
      </c>
      <c r="AA8" s="139">
        <f t="shared" si="1"/>
        <v>58999644</v>
      </c>
    </row>
    <row r="9" spans="1:27" ht="18.75">
      <c r="A9" s="4">
        <v>3</v>
      </c>
      <c r="B9" s="9" t="s">
        <v>3</v>
      </c>
      <c r="C9" s="23">
        <v>29111950</v>
      </c>
      <c r="D9" s="23">
        <v>22818000</v>
      </c>
      <c r="E9" s="23">
        <v>423675</v>
      </c>
      <c r="F9" s="137">
        <f t="shared" si="2"/>
        <v>52353625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1615230.72</v>
      </c>
      <c r="S9" s="8">
        <v>5226061</v>
      </c>
      <c r="T9" s="8">
        <v>0</v>
      </c>
      <c r="U9" s="8">
        <v>0</v>
      </c>
      <c r="V9" s="8">
        <v>0</v>
      </c>
      <c r="W9" s="8">
        <v>88177.5</v>
      </c>
      <c r="X9" s="8">
        <v>14000</v>
      </c>
      <c r="Y9" s="8">
        <v>0</v>
      </c>
      <c r="Z9" s="138">
        <f t="shared" si="0"/>
        <v>6943469.22</v>
      </c>
      <c r="AA9" s="139">
        <f t="shared" si="1"/>
        <v>59297094.22</v>
      </c>
    </row>
    <row r="10" spans="1:27" ht="18.75">
      <c r="A10" s="4">
        <v>4</v>
      </c>
      <c r="B10" s="5" t="s">
        <v>5</v>
      </c>
      <c r="C10" s="23">
        <v>12650300</v>
      </c>
      <c r="D10" s="23">
        <v>9853200</v>
      </c>
      <c r="E10" s="23">
        <v>321300</v>
      </c>
      <c r="F10" s="137">
        <f t="shared" si="2"/>
        <v>22824800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7897</v>
      </c>
      <c r="S10" s="8">
        <v>1059415</v>
      </c>
      <c r="T10" s="8">
        <v>0</v>
      </c>
      <c r="U10" s="8">
        <v>0</v>
      </c>
      <c r="V10" s="8">
        <v>0</v>
      </c>
      <c r="W10" s="8">
        <v>33000</v>
      </c>
      <c r="X10" s="8">
        <v>0</v>
      </c>
      <c r="Y10" s="8">
        <v>0</v>
      </c>
      <c r="Z10" s="138">
        <f t="shared" si="0"/>
        <v>1100312</v>
      </c>
      <c r="AA10" s="139">
        <f t="shared" si="1"/>
        <v>23925112</v>
      </c>
    </row>
    <row r="11" spans="1:27" ht="18.75">
      <c r="A11" s="4">
        <v>5</v>
      </c>
      <c r="B11" s="5" t="s">
        <v>7</v>
      </c>
      <c r="C11" s="23">
        <v>9162800</v>
      </c>
      <c r="D11" s="23">
        <v>7050000</v>
      </c>
      <c r="E11" s="23">
        <v>168637.5</v>
      </c>
      <c r="F11" s="137">
        <f t="shared" si="2"/>
        <v>16381437.5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894275</v>
      </c>
      <c r="S11" s="8">
        <v>5687163</v>
      </c>
      <c r="T11" s="8">
        <v>0</v>
      </c>
      <c r="U11" s="8">
        <v>0</v>
      </c>
      <c r="V11" s="8">
        <v>0</v>
      </c>
      <c r="W11" s="8">
        <v>377500</v>
      </c>
      <c r="X11" s="8">
        <v>25783860</v>
      </c>
      <c r="Y11" s="8">
        <v>0</v>
      </c>
      <c r="Z11" s="138">
        <f t="shared" si="0"/>
        <v>32742798</v>
      </c>
      <c r="AA11" s="139">
        <f t="shared" si="1"/>
        <v>49124235.5</v>
      </c>
    </row>
    <row r="12" spans="1:27" ht="18.75">
      <c r="A12" s="4">
        <v>6</v>
      </c>
      <c r="B12" s="5" t="s">
        <v>35</v>
      </c>
      <c r="C12" s="23">
        <v>2496250</v>
      </c>
      <c r="D12" s="23">
        <v>1922800</v>
      </c>
      <c r="E12" s="23">
        <v>251100</v>
      </c>
      <c r="F12" s="137">
        <f t="shared" si="2"/>
        <v>4670150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41250</v>
      </c>
      <c r="S12" s="8">
        <v>291000</v>
      </c>
      <c r="T12" s="8">
        <v>3439989.37</v>
      </c>
      <c r="U12" s="8">
        <v>0</v>
      </c>
      <c r="V12" s="8">
        <v>0</v>
      </c>
      <c r="W12" s="8">
        <v>208000</v>
      </c>
      <c r="X12" s="8">
        <v>0</v>
      </c>
      <c r="Y12" s="8">
        <v>0</v>
      </c>
      <c r="Z12" s="138">
        <f t="shared" si="0"/>
        <v>3980239.37</v>
      </c>
      <c r="AA12" s="139">
        <f t="shared" si="1"/>
        <v>8650389.370000001</v>
      </c>
    </row>
    <row r="13" spans="1:27" ht="18.75">
      <c r="A13" s="4">
        <v>7</v>
      </c>
      <c r="B13" s="9" t="s">
        <v>2</v>
      </c>
      <c r="C13" s="23">
        <v>7035200</v>
      </c>
      <c r="D13" s="23">
        <v>5385600</v>
      </c>
      <c r="E13" s="23">
        <v>81000</v>
      </c>
      <c r="F13" s="137">
        <f t="shared" si="2"/>
        <v>12501800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452100</v>
      </c>
      <c r="S13" s="8">
        <v>915700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138">
        <f t="shared" si="0"/>
        <v>1367800</v>
      </c>
      <c r="AA13" s="139">
        <f t="shared" si="1"/>
        <v>13869600</v>
      </c>
    </row>
    <row r="14" spans="1:27" ht="18.75">
      <c r="A14" s="4">
        <v>8</v>
      </c>
      <c r="B14" s="5" t="s">
        <v>0</v>
      </c>
      <c r="C14" s="23">
        <v>40034400</v>
      </c>
      <c r="D14" s="23">
        <v>33881200</v>
      </c>
      <c r="E14" s="23">
        <v>1508287.5</v>
      </c>
      <c r="F14" s="137">
        <f t="shared" si="2"/>
        <v>75423887.5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2812440</v>
      </c>
      <c r="S14" s="8">
        <v>3532415</v>
      </c>
      <c r="T14" s="8">
        <v>0</v>
      </c>
      <c r="U14" s="8">
        <v>0</v>
      </c>
      <c r="V14" s="8">
        <v>0</v>
      </c>
      <c r="W14" s="8">
        <v>0</v>
      </c>
      <c r="X14" s="8">
        <v>3105300</v>
      </c>
      <c r="Y14" s="8">
        <v>0</v>
      </c>
      <c r="Z14" s="138">
        <f t="shared" si="0"/>
        <v>9450155</v>
      </c>
      <c r="AA14" s="139">
        <f t="shared" si="1"/>
        <v>84874042.5</v>
      </c>
    </row>
    <row r="15" spans="1:27" ht="18.75">
      <c r="A15" s="4">
        <v>9</v>
      </c>
      <c r="B15" s="9" t="s">
        <v>4</v>
      </c>
      <c r="C15" s="23">
        <v>27913850</v>
      </c>
      <c r="D15" s="23">
        <v>21739200</v>
      </c>
      <c r="E15" s="23">
        <v>3672900</v>
      </c>
      <c r="F15" s="137">
        <f t="shared" si="2"/>
        <v>53325950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778512</v>
      </c>
      <c r="S15" s="8">
        <v>5373450</v>
      </c>
      <c r="T15" s="8">
        <v>0</v>
      </c>
      <c r="U15" s="8">
        <v>0</v>
      </c>
      <c r="V15" s="8">
        <v>0</v>
      </c>
      <c r="W15" s="8">
        <v>0</v>
      </c>
      <c r="X15" s="8">
        <v>82500</v>
      </c>
      <c r="Y15" s="8">
        <v>0</v>
      </c>
      <c r="Z15" s="138">
        <f t="shared" si="0"/>
        <v>6234462</v>
      </c>
      <c r="AA15" s="139">
        <f t="shared" si="1"/>
        <v>59560412</v>
      </c>
    </row>
    <row r="16" spans="1:27" ht="18.75">
      <c r="A16" s="4">
        <v>10</v>
      </c>
      <c r="B16" s="9" t="s">
        <v>36</v>
      </c>
      <c r="C16" s="23">
        <v>5501050</v>
      </c>
      <c r="D16" s="23">
        <v>4368000</v>
      </c>
      <c r="E16" s="23">
        <v>514800</v>
      </c>
      <c r="F16" s="137">
        <f t="shared" si="2"/>
        <v>10383850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303000</v>
      </c>
      <c r="X16" s="8">
        <v>8000</v>
      </c>
      <c r="Y16" s="8">
        <v>0</v>
      </c>
      <c r="Z16" s="138">
        <f t="shared" si="0"/>
        <v>311000</v>
      </c>
      <c r="AA16" s="139">
        <f t="shared" si="1"/>
        <v>10694850</v>
      </c>
    </row>
    <row r="17" spans="1:27" ht="18.75">
      <c r="A17" s="4">
        <v>11</v>
      </c>
      <c r="B17" s="12" t="s">
        <v>54</v>
      </c>
      <c r="C17" s="23">
        <v>2327750</v>
      </c>
      <c r="D17" s="23">
        <v>1812600</v>
      </c>
      <c r="E17" s="23">
        <v>13050</v>
      </c>
      <c r="F17" s="137">
        <f t="shared" si="2"/>
        <v>4153400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533250</v>
      </c>
      <c r="S17" s="8">
        <v>1806091</v>
      </c>
      <c r="T17" s="8">
        <v>120719.95</v>
      </c>
      <c r="U17" s="8">
        <v>0</v>
      </c>
      <c r="V17" s="8">
        <v>0</v>
      </c>
      <c r="W17" s="8">
        <v>25500</v>
      </c>
      <c r="X17" s="8">
        <v>0</v>
      </c>
      <c r="Y17" s="8">
        <v>0</v>
      </c>
      <c r="Z17" s="138">
        <f t="shared" si="0"/>
        <v>2485560.95</v>
      </c>
      <c r="AA17" s="139">
        <f t="shared" si="1"/>
        <v>6638960.95</v>
      </c>
    </row>
    <row r="18" spans="1:27" s="11" customFormat="1" ht="18.75">
      <c r="A18" s="4">
        <v>12</v>
      </c>
      <c r="B18" s="9" t="s">
        <v>8</v>
      </c>
      <c r="C18" s="28">
        <v>0</v>
      </c>
      <c r="D18" s="28">
        <v>0</v>
      </c>
      <c r="E18" s="28">
        <v>0</v>
      </c>
      <c r="F18" s="140">
        <v>22733166.55</v>
      </c>
      <c r="G18" s="8">
        <v>2389000</v>
      </c>
      <c r="H18" s="8">
        <v>0</v>
      </c>
      <c r="I18" s="8">
        <v>276481.87</v>
      </c>
      <c r="J18" s="8">
        <v>151940.21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17220330</v>
      </c>
      <c r="S18" s="8">
        <v>510115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138">
        <f t="shared" si="0"/>
        <v>20547867.08</v>
      </c>
      <c r="AA18" s="139">
        <f t="shared" si="1"/>
        <v>43281033.629999995</v>
      </c>
    </row>
    <row r="19" spans="1:27" ht="18.75">
      <c r="A19" s="4">
        <v>13</v>
      </c>
      <c r="B19" s="9" t="s">
        <v>37</v>
      </c>
      <c r="C19" s="23">
        <v>1919000</v>
      </c>
      <c r="D19" s="23">
        <v>1596000</v>
      </c>
      <c r="E19" s="23">
        <v>0</v>
      </c>
      <c r="F19" s="137">
        <f t="shared" si="2"/>
        <v>3515000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38">
        <f t="shared" si="0"/>
        <v>0</v>
      </c>
      <c r="AA19" s="139">
        <f t="shared" si="1"/>
        <v>3515000</v>
      </c>
    </row>
    <row r="20" spans="1:27" ht="18.75">
      <c r="A20" s="4">
        <v>14</v>
      </c>
      <c r="B20" s="9" t="s">
        <v>9</v>
      </c>
      <c r="C20" s="23">
        <v>0</v>
      </c>
      <c r="D20" s="23">
        <v>0</v>
      </c>
      <c r="E20" s="23">
        <v>0</v>
      </c>
      <c r="F20" s="137">
        <f>SUM(C20:E20)</f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20000</v>
      </c>
      <c r="X20" s="8">
        <v>903450</v>
      </c>
      <c r="Y20" s="8">
        <v>0</v>
      </c>
      <c r="Z20" s="138">
        <f t="shared" si="0"/>
        <v>923450</v>
      </c>
      <c r="AA20" s="139">
        <f t="shared" si="1"/>
        <v>923450</v>
      </c>
    </row>
    <row r="21" spans="1:27" ht="18.75">
      <c r="A21" s="4">
        <v>15</v>
      </c>
      <c r="B21" s="9" t="s">
        <v>14</v>
      </c>
      <c r="C21" s="23">
        <v>0</v>
      </c>
      <c r="D21" s="23">
        <v>0</v>
      </c>
      <c r="E21" s="23">
        <v>0</v>
      </c>
      <c r="F21" s="141">
        <f aca="true" t="shared" si="3" ref="F21:F38">SUM(C21:E21)</f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460006.28</v>
      </c>
      <c r="U21" s="8">
        <v>0</v>
      </c>
      <c r="V21" s="8">
        <v>0</v>
      </c>
      <c r="W21" s="8">
        <v>7018</v>
      </c>
      <c r="X21" s="8">
        <v>0</v>
      </c>
      <c r="Y21" s="8">
        <v>0</v>
      </c>
      <c r="Z21" s="138">
        <f t="shared" si="0"/>
        <v>467024.28</v>
      </c>
      <c r="AA21" s="139">
        <f t="shared" si="1"/>
        <v>467024.28</v>
      </c>
    </row>
    <row r="22" spans="1:27" ht="18.75">
      <c r="A22" s="4">
        <v>16</v>
      </c>
      <c r="B22" s="9" t="s">
        <v>15</v>
      </c>
      <c r="C22" s="23">
        <v>0</v>
      </c>
      <c r="D22" s="23">
        <v>0</v>
      </c>
      <c r="E22" s="23">
        <v>0</v>
      </c>
      <c r="F22" s="141">
        <f t="shared" si="3"/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1553250</v>
      </c>
      <c r="S22" s="8">
        <v>7730000</v>
      </c>
      <c r="T22" s="8">
        <v>0</v>
      </c>
      <c r="U22" s="8">
        <v>0</v>
      </c>
      <c r="V22" s="8">
        <v>0</v>
      </c>
      <c r="W22" s="8">
        <v>0</v>
      </c>
      <c r="X22" s="8">
        <v>852577.3</v>
      </c>
      <c r="Y22" s="8">
        <v>0</v>
      </c>
      <c r="Z22" s="138">
        <f t="shared" si="0"/>
        <v>10135827.3</v>
      </c>
      <c r="AA22" s="139">
        <f t="shared" si="1"/>
        <v>10135827.3</v>
      </c>
    </row>
    <row r="23" spans="1:27" ht="18.75">
      <c r="A23" s="4">
        <v>17</v>
      </c>
      <c r="B23" s="5" t="s">
        <v>17</v>
      </c>
      <c r="C23" s="23">
        <v>0</v>
      </c>
      <c r="D23" s="23">
        <v>0</v>
      </c>
      <c r="E23" s="23">
        <v>0</v>
      </c>
      <c r="F23" s="141">
        <f t="shared" si="3"/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138">
        <f t="shared" si="0"/>
        <v>0</v>
      </c>
      <c r="AA23" s="139">
        <f t="shared" si="1"/>
        <v>0</v>
      </c>
    </row>
    <row r="24" spans="1:27" ht="18.75">
      <c r="A24" s="4">
        <v>18</v>
      </c>
      <c r="B24" s="9" t="s">
        <v>11</v>
      </c>
      <c r="C24" s="23">
        <v>0</v>
      </c>
      <c r="D24" s="23">
        <v>0</v>
      </c>
      <c r="E24" s="23">
        <v>0</v>
      </c>
      <c r="F24" s="141">
        <f t="shared" si="3"/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1009650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138">
        <f t="shared" si="0"/>
        <v>1009650</v>
      </c>
      <c r="AA24" s="139">
        <f t="shared" si="1"/>
        <v>1009650</v>
      </c>
    </row>
    <row r="25" spans="1:27" ht="18.75">
      <c r="A25" s="4">
        <v>19</v>
      </c>
      <c r="B25" s="9" t="s">
        <v>13</v>
      </c>
      <c r="C25" s="23">
        <v>0</v>
      </c>
      <c r="D25" s="23">
        <v>0</v>
      </c>
      <c r="E25" s="23">
        <v>0</v>
      </c>
      <c r="F25" s="141">
        <f t="shared" si="3"/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33000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8">
        <f t="shared" si="0"/>
        <v>33000</v>
      </c>
      <c r="AA25" s="139">
        <f t="shared" si="1"/>
        <v>33000</v>
      </c>
    </row>
    <row r="26" spans="1:27" ht="18.75">
      <c r="A26" s="4">
        <v>20</v>
      </c>
      <c r="B26" s="9" t="s">
        <v>10</v>
      </c>
      <c r="C26" s="23">
        <v>0</v>
      </c>
      <c r="D26" s="23">
        <v>0</v>
      </c>
      <c r="E26" s="23">
        <v>0</v>
      </c>
      <c r="F26" s="141">
        <f t="shared" si="3"/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1000</v>
      </c>
      <c r="Y26" s="8">
        <v>0</v>
      </c>
      <c r="Z26" s="138">
        <f t="shared" si="0"/>
        <v>1000</v>
      </c>
      <c r="AA26" s="139">
        <f t="shared" si="1"/>
        <v>1000</v>
      </c>
    </row>
    <row r="27" spans="1:27" ht="18.75">
      <c r="A27" s="4">
        <v>21</v>
      </c>
      <c r="B27" s="5" t="s">
        <v>12</v>
      </c>
      <c r="C27" s="23">
        <v>0</v>
      </c>
      <c r="D27" s="23">
        <v>0</v>
      </c>
      <c r="E27" s="23">
        <v>0</v>
      </c>
      <c r="F27" s="141">
        <f t="shared" si="3"/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138">
        <f t="shared" si="0"/>
        <v>0</v>
      </c>
      <c r="AA27" s="139">
        <f t="shared" si="1"/>
        <v>0</v>
      </c>
    </row>
    <row r="28" spans="1:27" ht="18.75">
      <c r="A28" s="4">
        <v>22</v>
      </c>
      <c r="B28" s="9" t="s">
        <v>27</v>
      </c>
      <c r="C28" s="23">
        <v>0</v>
      </c>
      <c r="D28" s="23">
        <v>0</v>
      </c>
      <c r="E28" s="23">
        <v>0</v>
      </c>
      <c r="F28" s="141">
        <f t="shared" si="3"/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2354.34</v>
      </c>
      <c r="W28" s="8">
        <v>0</v>
      </c>
      <c r="X28" s="8">
        <v>0</v>
      </c>
      <c r="Y28" s="8">
        <v>0</v>
      </c>
      <c r="Z28" s="138">
        <f t="shared" si="0"/>
        <v>2354.34</v>
      </c>
      <c r="AA28" s="139">
        <f t="shared" si="1"/>
        <v>2354.34</v>
      </c>
    </row>
    <row r="29" spans="1:27" ht="18.75">
      <c r="A29" s="4">
        <v>23</v>
      </c>
      <c r="B29" s="5" t="s">
        <v>28</v>
      </c>
      <c r="C29" s="23">
        <v>0</v>
      </c>
      <c r="D29" s="23">
        <v>0</v>
      </c>
      <c r="E29" s="23">
        <v>0</v>
      </c>
      <c r="F29" s="141">
        <f t="shared" si="3"/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16793550.42</v>
      </c>
      <c r="W29" s="8">
        <v>0</v>
      </c>
      <c r="X29" s="8">
        <v>0</v>
      </c>
      <c r="Y29" s="8">
        <v>0</v>
      </c>
      <c r="Z29" s="138">
        <f t="shared" si="0"/>
        <v>16793550.42</v>
      </c>
      <c r="AA29" s="139">
        <f t="shared" si="1"/>
        <v>16793550.42</v>
      </c>
    </row>
    <row r="30" spans="1:27" ht="18.75">
      <c r="A30" s="4">
        <v>24</v>
      </c>
      <c r="B30" s="9" t="s">
        <v>18</v>
      </c>
      <c r="C30" s="23">
        <v>0</v>
      </c>
      <c r="D30" s="23">
        <v>0</v>
      </c>
      <c r="E30" s="23">
        <v>0</v>
      </c>
      <c r="F30" s="141">
        <f t="shared" si="3"/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581000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138">
        <f t="shared" si="0"/>
        <v>581000</v>
      </c>
      <c r="AA30" s="139">
        <f t="shared" si="1"/>
        <v>581000</v>
      </c>
    </row>
    <row r="31" spans="1:27" ht="18.75">
      <c r="A31" s="4">
        <v>25</v>
      </c>
      <c r="B31" s="9" t="s">
        <v>19</v>
      </c>
      <c r="C31" s="23">
        <v>0</v>
      </c>
      <c r="D31" s="23">
        <v>0</v>
      </c>
      <c r="E31" s="23">
        <v>0</v>
      </c>
      <c r="F31" s="141">
        <f t="shared" si="3"/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138">
        <f t="shared" si="0"/>
        <v>0</v>
      </c>
      <c r="AA31" s="139">
        <f t="shared" si="1"/>
        <v>0</v>
      </c>
    </row>
    <row r="32" spans="1:27" ht="18.75">
      <c r="A32" s="4">
        <v>26</v>
      </c>
      <c r="B32" s="9" t="s">
        <v>20</v>
      </c>
      <c r="C32" s="23">
        <v>0</v>
      </c>
      <c r="D32" s="23">
        <v>0</v>
      </c>
      <c r="E32" s="23">
        <v>0</v>
      </c>
      <c r="F32" s="141">
        <f t="shared" si="3"/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315049.29</v>
      </c>
      <c r="Y32" s="8">
        <v>0</v>
      </c>
      <c r="Z32" s="138">
        <f t="shared" si="0"/>
        <v>315049.29</v>
      </c>
      <c r="AA32" s="139">
        <f t="shared" si="1"/>
        <v>315049.29</v>
      </c>
    </row>
    <row r="33" spans="1:27" ht="18.75">
      <c r="A33" s="4">
        <v>27</v>
      </c>
      <c r="B33" s="9" t="s">
        <v>21</v>
      </c>
      <c r="C33" s="23">
        <v>0</v>
      </c>
      <c r="D33" s="23">
        <v>0</v>
      </c>
      <c r="E33" s="23">
        <v>0</v>
      </c>
      <c r="F33" s="141">
        <f t="shared" si="3"/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-1800000</v>
      </c>
      <c r="X33" s="8">
        <v>1348547.19</v>
      </c>
      <c r="Y33" s="8">
        <v>0</v>
      </c>
      <c r="Z33" s="138">
        <f t="shared" si="0"/>
        <v>-451452.81000000006</v>
      </c>
      <c r="AA33" s="139">
        <f t="shared" si="1"/>
        <v>-451452.81000000006</v>
      </c>
    </row>
    <row r="34" spans="1:27" ht="18.75">
      <c r="A34" s="4">
        <v>28</v>
      </c>
      <c r="B34" s="9" t="s">
        <v>49</v>
      </c>
      <c r="C34" s="23">
        <v>0</v>
      </c>
      <c r="D34" s="23">
        <v>0</v>
      </c>
      <c r="E34" s="23">
        <v>0</v>
      </c>
      <c r="F34" s="141">
        <f>SUM(C34:E34)</f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10466195</v>
      </c>
      <c r="X34" s="8">
        <v>417480</v>
      </c>
      <c r="Y34" s="8">
        <v>0</v>
      </c>
      <c r="Z34" s="138">
        <f t="shared" si="0"/>
        <v>10883675</v>
      </c>
      <c r="AA34" s="139">
        <f t="shared" si="1"/>
        <v>10883675</v>
      </c>
    </row>
    <row r="35" spans="1:27" ht="18.75">
      <c r="A35" s="4">
        <v>29</v>
      </c>
      <c r="B35" s="9" t="s">
        <v>22</v>
      </c>
      <c r="C35" s="23">
        <v>0</v>
      </c>
      <c r="D35" s="23">
        <v>0</v>
      </c>
      <c r="E35" s="23">
        <v>0</v>
      </c>
      <c r="F35" s="141">
        <f t="shared" si="3"/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59345.01</v>
      </c>
      <c r="U35" s="8">
        <v>0</v>
      </c>
      <c r="V35" s="8">
        <v>0</v>
      </c>
      <c r="W35" s="8">
        <v>1768400</v>
      </c>
      <c r="X35" s="8">
        <v>69732</v>
      </c>
      <c r="Y35" s="8">
        <v>0</v>
      </c>
      <c r="Z35" s="138">
        <f t="shared" si="0"/>
        <v>1897477.01</v>
      </c>
      <c r="AA35" s="139">
        <f t="shared" si="1"/>
        <v>1897477.01</v>
      </c>
    </row>
    <row r="36" spans="1:27" ht="18.75">
      <c r="A36" s="4">
        <v>30</v>
      </c>
      <c r="B36" s="9" t="s">
        <v>23</v>
      </c>
      <c r="C36" s="23">
        <v>0</v>
      </c>
      <c r="D36" s="23">
        <v>0</v>
      </c>
      <c r="E36" s="23">
        <v>0</v>
      </c>
      <c r="F36" s="141">
        <f t="shared" si="3"/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2627084.32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138">
        <f t="shared" si="0"/>
        <v>2627084.32</v>
      </c>
      <c r="AA36" s="139">
        <f t="shared" si="1"/>
        <v>2627084.32</v>
      </c>
    </row>
    <row r="37" spans="1:27" ht="18.75">
      <c r="A37" s="4">
        <v>31</v>
      </c>
      <c r="B37" s="9" t="s">
        <v>24</v>
      </c>
      <c r="C37" s="23">
        <v>0</v>
      </c>
      <c r="D37" s="23">
        <v>0</v>
      </c>
      <c r="E37" s="23">
        <v>0</v>
      </c>
      <c r="F37" s="141">
        <f t="shared" si="3"/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f>410642.09+236420.39</f>
        <v>647062.48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138">
        <f t="shared" si="0"/>
        <v>647062.48</v>
      </c>
      <c r="AA37" s="139">
        <f t="shared" si="1"/>
        <v>647062.48</v>
      </c>
    </row>
    <row r="38" spans="1:27" ht="18.75">
      <c r="A38" s="4">
        <v>32</v>
      </c>
      <c r="B38" s="12" t="s">
        <v>50</v>
      </c>
      <c r="C38" s="23">
        <v>0</v>
      </c>
      <c r="D38" s="23">
        <v>0</v>
      </c>
      <c r="E38" s="23">
        <v>0</v>
      </c>
      <c r="F38" s="141">
        <f t="shared" si="3"/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138">
        <f t="shared" si="0"/>
        <v>0</v>
      </c>
      <c r="AA38" s="139">
        <f t="shared" si="1"/>
        <v>0</v>
      </c>
    </row>
    <row r="39" spans="1:27" ht="18.75">
      <c r="A39" s="4">
        <v>33</v>
      </c>
      <c r="B39" s="12" t="s">
        <v>63</v>
      </c>
      <c r="C39" s="23">
        <v>0</v>
      </c>
      <c r="D39" s="23">
        <v>0</v>
      </c>
      <c r="E39" s="23">
        <v>0</v>
      </c>
      <c r="F39" s="141">
        <f>SUM(C39:E39)</f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161836080</v>
      </c>
      <c r="S39" s="8">
        <v>1354042.8</v>
      </c>
      <c r="T39" s="8">
        <v>3314537.3200000003</v>
      </c>
      <c r="U39" s="8">
        <v>0</v>
      </c>
      <c r="V39" s="8">
        <v>0</v>
      </c>
      <c r="W39" s="8">
        <v>100000</v>
      </c>
      <c r="X39" s="8">
        <v>137489.13</v>
      </c>
      <c r="Y39" s="8">
        <v>0</v>
      </c>
      <c r="Z39" s="138">
        <f t="shared" si="0"/>
        <v>166742149.25</v>
      </c>
      <c r="AA39" s="139">
        <f t="shared" si="1"/>
        <v>166742149.25</v>
      </c>
    </row>
    <row r="40" spans="1:27" ht="18.75">
      <c r="A40" s="4">
        <v>34</v>
      </c>
      <c r="B40" s="12" t="s">
        <v>68</v>
      </c>
      <c r="C40" s="23">
        <v>0</v>
      </c>
      <c r="D40" s="23">
        <v>0</v>
      </c>
      <c r="E40" s="23">
        <v>0</v>
      </c>
      <c r="F40" s="141">
        <f>SUM(C40:E40)</f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425187</v>
      </c>
      <c r="Y40" s="8">
        <v>0</v>
      </c>
      <c r="Z40" s="138">
        <f t="shared" si="0"/>
        <v>425187</v>
      </c>
      <c r="AA40" s="139">
        <f t="shared" si="1"/>
        <v>425187</v>
      </c>
    </row>
    <row r="41" spans="1:27" ht="18.75">
      <c r="A41" s="4">
        <v>35</v>
      </c>
      <c r="B41" s="12" t="s">
        <v>111</v>
      </c>
      <c r="C41" s="28">
        <v>0</v>
      </c>
      <c r="D41" s="28">
        <v>0</v>
      </c>
      <c r="E41" s="28">
        <v>0</v>
      </c>
      <c r="F41" s="141">
        <v>7355000</v>
      </c>
      <c r="G41" s="8">
        <v>2150000</v>
      </c>
      <c r="H41" s="8">
        <v>0</v>
      </c>
      <c r="I41" s="8">
        <v>5465609</v>
      </c>
      <c r="J41" s="8">
        <v>12355.18</v>
      </c>
      <c r="K41" s="8">
        <v>0</v>
      </c>
      <c r="L41" s="8">
        <v>0</v>
      </c>
      <c r="M41" s="8">
        <v>0</v>
      </c>
      <c r="N41" s="8">
        <v>177840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3800</v>
      </c>
      <c r="Y41" s="8">
        <v>0</v>
      </c>
      <c r="Z41" s="138">
        <f t="shared" si="0"/>
        <v>7809604.18</v>
      </c>
      <c r="AA41" s="139">
        <f>SUM(F41+Z41)</f>
        <v>15164604.18</v>
      </c>
    </row>
    <row r="42" spans="1:27" ht="18.75">
      <c r="A42" s="4" t="s">
        <v>47</v>
      </c>
      <c r="B42" s="12" t="s">
        <v>43</v>
      </c>
      <c r="C42" s="23">
        <v>0</v>
      </c>
      <c r="D42" s="23">
        <v>0</v>
      </c>
      <c r="E42" s="23">
        <v>0</v>
      </c>
      <c r="F42" s="141">
        <f>SUM(C42:E42)</f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485713.79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138">
        <f t="shared" si="0"/>
        <v>485713.79</v>
      </c>
      <c r="AA42" s="139">
        <f t="shared" si="1"/>
        <v>485713.79</v>
      </c>
    </row>
    <row r="43" spans="1:27" s="11" customFormat="1" ht="21" customHeight="1">
      <c r="A43" s="10" t="s">
        <v>40</v>
      </c>
      <c r="B43" s="12" t="s">
        <v>39</v>
      </c>
      <c r="C43" s="142"/>
      <c r="D43" s="143">
        <f>SUM(F54)</f>
        <v>-42803792.78000003</v>
      </c>
      <c r="E43" s="144"/>
      <c r="F43" s="145">
        <f>SUM(C43:E43)</f>
        <v>-42803792.78000003</v>
      </c>
      <c r="G43" s="8">
        <v>4795826.25</v>
      </c>
      <c r="H43" s="8">
        <v>6601325</v>
      </c>
      <c r="I43" s="8">
        <v>34284686.76</v>
      </c>
      <c r="J43" s="8">
        <v>18316792.11</v>
      </c>
      <c r="K43" s="8">
        <v>346828.27</v>
      </c>
      <c r="L43" s="8">
        <v>-20072.4</v>
      </c>
      <c r="M43" s="8">
        <v>-1602651</v>
      </c>
      <c r="N43" s="8">
        <v>0</v>
      </c>
      <c r="O43" s="8">
        <v>5459591.89</v>
      </c>
      <c r="P43" s="8">
        <v>192376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138">
        <f t="shared" si="0"/>
        <v>68374702.88</v>
      </c>
      <c r="AA43" s="139">
        <f t="shared" si="1"/>
        <v>25570910.099999964</v>
      </c>
    </row>
    <row r="44" spans="3:27" s="11" customFormat="1" ht="19.5" thickBot="1">
      <c r="C44" s="26"/>
      <c r="D44" s="26"/>
      <c r="E44" s="26"/>
      <c r="F44" s="146">
        <f aca="true" t="shared" si="4" ref="F44:Y44">SUM(F7:F43)</f>
        <v>307110943.77</v>
      </c>
      <c r="G44" s="13">
        <f t="shared" si="4"/>
        <v>9334826.25</v>
      </c>
      <c r="H44" s="13">
        <f t="shared" si="4"/>
        <v>6601325</v>
      </c>
      <c r="I44" s="13">
        <f t="shared" si="4"/>
        <v>40026777.629999995</v>
      </c>
      <c r="J44" s="13">
        <f t="shared" si="4"/>
        <v>18481087.5</v>
      </c>
      <c r="K44" s="13">
        <f t="shared" si="4"/>
        <v>346828.27</v>
      </c>
      <c r="L44" s="13">
        <f t="shared" si="4"/>
        <v>-20072.4</v>
      </c>
      <c r="M44" s="13">
        <f t="shared" si="4"/>
        <v>-1602651</v>
      </c>
      <c r="N44" s="13">
        <f t="shared" si="4"/>
        <v>177840</v>
      </c>
      <c r="O44" s="13">
        <f t="shared" si="4"/>
        <v>5459591.89</v>
      </c>
      <c r="P44" s="13">
        <f t="shared" si="4"/>
        <v>192376</v>
      </c>
      <c r="Q44" s="13">
        <f t="shared" si="4"/>
        <v>0</v>
      </c>
      <c r="R44" s="13">
        <f t="shared" si="4"/>
        <v>191976514.72</v>
      </c>
      <c r="S44" s="13">
        <f t="shared" si="4"/>
        <v>35535642.8</v>
      </c>
      <c r="T44" s="13">
        <f t="shared" si="4"/>
        <v>15782702.53</v>
      </c>
      <c r="U44" s="13">
        <f t="shared" si="4"/>
        <v>0</v>
      </c>
      <c r="V44" s="13">
        <f t="shared" si="4"/>
        <v>16795904.76</v>
      </c>
      <c r="W44" s="13">
        <f t="shared" si="4"/>
        <v>11696790.5</v>
      </c>
      <c r="X44" s="13">
        <f t="shared" si="4"/>
        <v>33467971.91</v>
      </c>
      <c r="Y44" s="13">
        <f t="shared" si="4"/>
        <v>0</v>
      </c>
      <c r="Z44" s="147">
        <f>SUM(Z7:Z43)</f>
        <v>384253456.36</v>
      </c>
      <c r="AA44" s="148">
        <f>SUM(AA7:AA43)</f>
        <v>691364400.1299999</v>
      </c>
    </row>
    <row r="45" spans="3:27" ht="19.5" thickTop="1">
      <c r="C45" s="26"/>
      <c r="D45" s="26"/>
      <c r="E45" s="26"/>
      <c r="F45" s="14"/>
      <c r="AA45" s="14"/>
    </row>
    <row r="46" spans="1:6" s="36" customFormat="1" ht="21">
      <c r="A46" s="33" t="s">
        <v>53</v>
      </c>
      <c r="B46" s="34"/>
      <c r="C46" s="35"/>
      <c r="D46" s="149"/>
      <c r="E46" s="150"/>
      <c r="F46" s="151"/>
    </row>
    <row r="47" spans="1:6" s="36" customFormat="1" ht="21">
      <c r="A47" s="22"/>
      <c r="B47" s="37" t="s">
        <v>112</v>
      </c>
      <c r="C47" s="16"/>
      <c r="D47" s="16"/>
      <c r="E47" s="151"/>
      <c r="F47" s="151"/>
    </row>
    <row r="48" spans="3:27" s="16" customFormat="1" ht="21">
      <c r="C48" s="152"/>
      <c r="D48" s="152"/>
      <c r="E48" s="152"/>
      <c r="F48" s="153"/>
      <c r="Z48" s="35"/>
      <c r="AA48" s="153"/>
    </row>
    <row r="49" spans="2:6" ht="18.75">
      <c r="B49" s="170" t="s">
        <v>118</v>
      </c>
      <c r="F49" s="14"/>
    </row>
    <row r="50" ht="18.75">
      <c r="F50" s="15"/>
    </row>
    <row r="51" ht="18.75">
      <c r="F51" s="14"/>
    </row>
    <row r="52" spans="5:27" ht="18.75">
      <c r="E52" s="169" t="s">
        <v>113</v>
      </c>
      <c r="F52" s="26">
        <v>307110943.77</v>
      </c>
      <c r="AA52" s="14"/>
    </row>
    <row r="53" spans="5:27" ht="18.75">
      <c r="E53" s="169" t="s">
        <v>116</v>
      </c>
      <c r="F53" s="26">
        <v>349914736.55</v>
      </c>
      <c r="AA53" s="14"/>
    </row>
    <row r="54" ht="18.75">
      <c r="F54" s="26">
        <f>SUM(F52-F53)</f>
        <v>-42803792.78000003</v>
      </c>
    </row>
    <row r="55" ht="18.75">
      <c r="F55" s="14">
        <f>SUM(F44-F52)</f>
        <v>0</v>
      </c>
    </row>
    <row r="56" ht="18.75">
      <c r="F56" s="14"/>
    </row>
  </sheetData>
  <sheetProtection/>
  <mergeCells count="8">
    <mergeCell ref="A1:AA1"/>
    <mergeCell ref="A2:AA2"/>
    <mergeCell ref="A3:AA3"/>
    <mergeCell ref="A5:A6"/>
    <mergeCell ref="B5:B6"/>
    <mergeCell ref="C5:F5"/>
    <mergeCell ref="G5:Z5"/>
    <mergeCell ref="AA5:AA6"/>
  </mergeCells>
  <printOptions/>
  <pageMargins left="0.17" right="0.15748031496062992" top="0.7480314960629921" bottom="0.7480314960629921" header="0.31496062992125984" footer="0.31496062992125984"/>
  <pageSetup horizontalDpi="600" verticalDpi="600" orientation="landscape" paperSize="9" scale="39" r:id="rId3"/>
  <rowBreaks count="1" manualBreakCount="1">
    <brk id="4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56"/>
  <sheetViews>
    <sheetView zoomScaleSheetLayoutView="85" zoomScalePageLayoutView="0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50" sqref="J50"/>
    </sheetView>
  </sheetViews>
  <sheetFormatPr defaultColWidth="9.140625" defaultRowHeight="15"/>
  <cols>
    <col min="1" max="1" width="2.8515625" style="1" bestFit="1" customWidth="1"/>
    <col min="2" max="2" width="32.57421875" style="1" customWidth="1"/>
    <col min="3" max="4" width="12.7109375" style="1" customWidth="1"/>
    <col min="5" max="5" width="10.8515625" style="1" customWidth="1"/>
    <col min="6" max="6" width="13.00390625" style="3" customWidth="1"/>
    <col min="7" max="7" width="12.421875" style="1" customWidth="1"/>
    <col min="8" max="8" width="11.421875" style="1" customWidth="1"/>
    <col min="9" max="11" width="12.421875" style="1" customWidth="1"/>
    <col min="12" max="12" width="12.00390625" style="1" customWidth="1"/>
    <col min="13" max="13" width="11.7109375" style="1" customWidth="1"/>
    <col min="14" max="14" width="12.140625" style="1" customWidth="1"/>
    <col min="15" max="20" width="13.28125" style="1" customWidth="1"/>
    <col min="21" max="21" width="12.421875" style="1" customWidth="1"/>
    <col min="22" max="22" width="12.140625" style="1" customWidth="1"/>
    <col min="23" max="23" width="12.421875" style="1" bestFit="1" customWidth="1"/>
    <col min="24" max="24" width="12.421875" style="1" customWidth="1"/>
    <col min="25" max="25" width="13.140625" style="3" customWidth="1"/>
    <col min="26" max="26" width="13.28125" style="3" customWidth="1"/>
    <col min="27" max="16384" width="9.00390625" style="1" customWidth="1"/>
  </cols>
  <sheetData>
    <row r="1" spans="1:26" ht="24">
      <c r="A1" s="215" t="s">
        <v>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26" ht="24">
      <c r="A2" s="215" t="s">
        <v>105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ht="24">
      <c r="A3" s="216" t="s">
        <v>69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12" ht="21.75">
      <c r="A4" s="3"/>
      <c r="H4" s="129"/>
      <c r="L4" s="130"/>
    </row>
    <row r="5" spans="1:26" ht="22.5" customHeight="1">
      <c r="A5" s="217" t="s">
        <v>38</v>
      </c>
      <c r="B5" s="217" t="s">
        <v>45</v>
      </c>
      <c r="C5" s="219" t="s">
        <v>57</v>
      </c>
      <c r="D5" s="220"/>
      <c r="E5" s="220"/>
      <c r="F5" s="221"/>
      <c r="G5" s="222" t="s">
        <v>56</v>
      </c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/>
      <c r="Z5" s="225" t="s">
        <v>71</v>
      </c>
    </row>
    <row r="6" spans="1:26" ht="130.5">
      <c r="A6" s="218"/>
      <c r="B6" s="218"/>
      <c r="C6" s="131" t="s">
        <v>91</v>
      </c>
      <c r="D6" s="131" t="s">
        <v>92</v>
      </c>
      <c r="E6" s="131" t="s">
        <v>93</v>
      </c>
      <c r="F6" s="132" t="s">
        <v>90</v>
      </c>
      <c r="G6" s="133" t="s">
        <v>75</v>
      </c>
      <c r="H6" s="133" t="s">
        <v>76</v>
      </c>
      <c r="I6" s="133" t="s">
        <v>77</v>
      </c>
      <c r="J6" s="133" t="s">
        <v>78</v>
      </c>
      <c r="K6" s="133" t="s">
        <v>41</v>
      </c>
      <c r="L6" s="133" t="s">
        <v>79</v>
      </c>
      <c r="M6" s="133" t="s">
        <v>80</v>
      </c>
      <c r="N6" s="133" t="s">
        <v>81</v>
      </c>
      <c r="O6" s="131" t="s">
        <v>82</v>
      </c>
      <c r="P6" s="131" t="s">
        <v>94</v>
      </c>
      <c r="Q6" s="134" t="s">
        <v>29</v>
      </c>
      <c r="R6" s="135" t="s">
        <v>31</v>
      </c>
      <c r="S6" s="135" t="s">
        <v>32</v>
      </c>
      <c r="T6" s="135" t="s">
        <v>62</v>
      </c>
      <c r="U6" s="135" t="s">
        <v>34</v>
      </c>
      <c r="V6" s="17" t="s">
        <v>41</v>
      </c>
      <c r="W6" s="17" t="s">
        <v>46</v>
      </c>
      <c r="X6" s="18" t="s">
        <v>65</v>
      </c>
      <c r="Y6" s="136" t="s">
        <v>84</v>
      </c>
      <c r="Z6" s="226"/>
    </row>
    <row r="7" spans="1:26" ht="21.75">
      <c r="A7" s="4">
        <v>1</v>
      </c>
      <c r="B7" s="5" t="s">
        <v>6</v>
      </c>
      <c r="C7" s="23">
        <v>4437800</v>
      </c>
      <c r="D7" s="23">
        <v>4767050</v>
      </c>
      <c r="E7" s="23">
        <v>156600</v>
      </c>
      <c r="F7" s="137">
        <f>SUM(C7:E7)</f>
        <v>9361450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235900</v>
      </c>
      <c r="R7" s="8">
        <v>2464690</v>
      </c>
      <c r="S7" s="8">
        <v>2977416.09</v>
      </c>
      <c r="T7" s="8">
        <v>0</v>
      </c>
      <c r="U7" s="8">
        <v>0</v>
      </c>
      <c r="V7" s="8">
        <v>58000</v>
      </c>
      <c r="W7" s="8">
        <v>0</v>
      </c>
      <c r="X7" s="8">
        <v>0</v>
      </c>
      <c r="Y7" s="138">
        <f aca="true" t="shared" si="0" ref="Y7:Y43">SUM(G7:X7)</f>
        <v>5736006.09</v>
      </c>
      <c r="Z7" s="139">
        <f aca="true" t="shared" si="1" ref="Z7:Z43">SUM(F7+Y7)</f>
        <v>15097456.09</v>
      </c>
    </row>
    <row r="8" spans="1:26" ht="21.75">
      <c r="A8" s="4">
        <v>2</v>
      </c>
      <c r="B8" s="5" t="s">
        <v>1</v>
      </c>
      <c r="C8" s="23">
        <v>23869475</v>
      </c>
      <c r="D8" s="23">
        <v>25656500</v>
      </c>
      <c r="E8" s="23">
        <v>2617875</v>
      </c>
      <c r="F8" s="137">
        <f aca="true" t="shared" si="2" ref="F8:F19">SUM(C8:E8)</f>
        <v>52143850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1025500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138">
        <f t="shared" si="0"/>
        <v>1025500</v>
      </c>
      <c r="Z8" s="139">
        <f t="shared" si="1"/>
        <v>53169350</v>
      </c>
    </row>
    <row r="9" spans="1:26" ht="21.75">
      <c r="A9" s="4">
        <v>3</v>
      </c>
      <c r="B9" s="9" t="s">
        <v>3</v>
      </c>
      <c r="C9" s="23">
        <v>25596500</v>
      </c>
      <c r="D9" s="23">
        <v>27939250</v>
      </c>
      <c r="E9" s="23">
        <v>448875</v>
      </c>
      <c r="F9" s="137">
        <f t="shared" si="2"/>
        <v>53984625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1986850</v>
      </c>
      <c r="R9" s="8">
        <v>583873</v>
      </c>
      <c r="S9" s="8">
        <v>0</v>
      </c>
      <c r="T9" s="8">
        <v>0</v>
      </c>
      <c r="U9" s="8">
        <v>0</v>
      </c>
      <c r="V9" s="8">
        <v>0</v>
      </c>
      <c r="W9" s="8">
        <v>12000</v>
      </c>
      <c r="X9" s="8">
        <v>0</v>
      </c>
      <c r="Y9" s="138">
        <f t="shared" si="0"/>
        <v>2582723</v>
      </c>
      <c r="Z9" s="139">
        <f t="shared" si="1"/>
        <v>56567348</v>
      </c>
    </row>
    <row r="10" spans="1:26" ht="21.75">
      <c r="A10" s="4">
        <v>4</v>
      </c>
      <c r="B10" s="5" t="s">
        <v>5</v>
      </c>
      <c r="C10" s="23">
        <v>11518700</v>
      </c>
      <c r="D10" s="23">
        <v>12435000</v>
      </c>
      <c r="E10" s="23">
        <v>270000</v>
      </c>
      <c r="F10" s="137">
        <f t="shared" si="2"/>
        <v>24223700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3712</v>
      </c>
      <c r="R10" s="8">
        <v>213235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138">
        <f t="shared" si="0"/>
        <v>216947</v>
      </c>
      <c r="Z10" s="139">
        <f t="shared" si="1"/>
        <v>24440647</v>
      </c>
    </row>
    <row r="11" spans="1:26" ht="21.75">
      <c r="A11" s="4">
        <v>5</v>
      </c>
      <c r="B11" s="5" t="s">
        <v>7</v>
      </c>
      <c r="C11" s="23">
        <v>9109775</v>
      </c>
      <c r="D11" s="23">
        <v>9379250</v>
      </c>
      <c r="E11" s="23">
        <v>467912.5</v>
      </c>
      <c r="F11" s="137">
        <f t="shared" si="2"/>
        <v>18956937.5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702400</v>
      </c>
      <c r="R11" s="8">
        <v>1552856.36</v>
      </c>
      <c r="S11" s="8">
        <v>0</v>
      </c>
      <c r="T11" s="8">
        <v>0</v>
      </c>
      <c r="U11" s="8">
        <v>0</v>
      </c>
      <c r="V11" s="8">
        <v>50000</v>
      </c>
      <c r="W11" s="8">
        <v>10669331.77</v>
      </c>
      <c r="X11" s="8">
        <v>0</v>
      </c>
      <c r="Y11" s="138">
        <f t="shared" si="0"/>
        <v>12974588.129999999</v>
      </c>
      <c r="Z11" s="139">
        <f t="shared" si="1"/>
        <v>31931525.63</v>
      </c>
    </row>
    <row r="12" spans="1:26" ht="21.75">
      <c r="A12" s="4">
        <v>6</v>
      </c>
      <c r="B12" s="5" t="s">
        <v>35</v>
      </c>
      <c r="C12" s="23">
        <v>2133700</v>
      </c>
      <c r="D12" s="23">
        <v>2282500</v>
      </c>
      <c r="E12" s="23">
        <v>364500</v>
      </c>
      <c r="F12" s="137">
        <f t="shared" si="2"/>
        <v>4780700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145800</v>
      </c>
      <c r="R12" s="8">
        <v>0</v>
      </c>
      <c r="S12" s="8">
        <v>1429146.46</v>
      </c>
      <c r="T12" s="8">
        <v>0</v>
      </c>
      <c r="U12" s="8">
        <v>0</v>
      </c>
      <c r="V12" s="8">
        <v>20700</v>
      </c>
      <c r="W12" s="8">
        <v>0</v>
      </c>
      <c r="X12" s="8">
        <v>0</v>
      </c>
      <c r="Y12" s="138">
        <f t="shared" si="0"/>
        <v>1595646.46</v>
      </c>
      <c r="Z12" s="139">
        <f t="shared" si="1"/>
        <v>6376346.46</v>
      </c>
    </row>
    <row r="13" spans="1:26" ht="21.75">
      <c r="A13" s="4">
        <v>7</v>
      </c>
      <c r="B13" s="9" t="s">
        <v>2</v>
      </c>
      <c r="C13" s="23">
        <v>6152600</v>
      </c>
      <c r="D13" s="23">
        <v>6554000</v>
      </c>
      <c r="E13" s="23">
        <v>102600</v>
      </c>
      <c r="F13" s="137">
        <f t="shared" si="2"/>
        <v>12809200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850000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40999</v>
      </c>
      <c r="X13" s="8">
        <v>0</v>
      </c>
      <c r="Y13" s="138">
        <f t="shared" si="0"/>
        <v>890999</v>
      </c>
      <c r="Z13" s="139">
        <f t="shared" si="1"/>
        <v>13700199</v>
      </c>
    </row>
    <row r="14" spans="1:26" ht="21.75">
      <c r="A14" s="4">
        <v>8</v>
      </c>
      <c r="B14" s="5" t="s">
        <v>0</v>
      </c>
      <c r="C14" s="23">
        <v>35399100</v>
      </c>
      <c r="D14" s="23">
        <v>37115500</v>
      </c>
      <c r="E14" s="23">
        <v>1499850</v>
      </c>
      <c r="F14" s="137">
        <f t="shared" si="2"/>
        <v>74014450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3966810</v>
      </c>
      <c r="R14" s="8">
        <v>3555244</v>
      </c>
      <c r="S14" s="8">
        <v>0</v>
      </c>
      <c r="T14" s="8">
        <v>0</v>
      </c>
      <c r="U14" s="8">
        <v>0</v>
      </c>
      <c r="V14" s="8">
        <v>5000</v>
      </c>
      <c r="W14" s="8">
        <v>5048000</v>
      </c>
      <c r="X14" s="8">
        <v>0</v>
      </c>
      <c r="Y14" s="138">
        <f t="shared" si="0"/>
        <v>12575054</v>
      </c>
      <c r="Z14" s="139">
        <f t="shared" si="1"/>
        <v>86589504</v>
      </c>
    </row>
    <row r="15" spans="1:26" ht="21.75">
      <c r="A15" s="4">
        <v>9</v>
      </c>
      <c r="B15" s="9" t="s">
        <v>4</v>
      </c>
      <c r="C15" s="23">
        <v>24586125</v>
      </c>
      <c r="D15" s="23">
        <v>25725750</v>
      </c>
      <c r="E15" s="23">
        <v>4130100</v>
      </c>
      <c r="F15" s="137">
        <f t="shared" si="2"/>
        <v>54441975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633700</v>
      </c>
      <c r="R15" s="8">
        <v>5129912</v>
      </c>
      <c r="S15" s="8">
        <v>0</v>
      </c>
      <c r="T15" s="8">
        <v>0</v>
      </c>
      <c r="U15" s="8">
        <v>0</v>
      </c>
      <c r="V15" s="8">
        <v>0</v>
      </c>
      <c r="W15" s="8">
        <v>28500</v>
      </c>
      <c r="X15" s="8">
        <v>0</v>
      </c>
      <c r="Y15" s="138">
        <f t="shared" si="0"/>
        <v>5792112</v>
      </c>
      <c r="Z15" s="139">
        <f t="shared" si="1"/>
        <v>60234087</v>
      </c>
    </row>
    <row r="16" spans="1:26" ht="21.75">
      <c r="A16" s="4">
        <v>10</v>
      </c>
      <c r="B16" s="9" t="s">
        <v>36</v>
      </c>
      <c r="C16" s="23">
        <v>3889150</v>
      </c>
      <c r="D16" s="23">
        <v>4316000</v>
      </c>
      <c r="E16" s="23">
        <v>631800</v>
      </c>
      <c r="F16" s="137">
        <f t="shared" si="2"/>
        <v>8836950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164000</v>
      </c>
      <c r="W16" s="8">
        <v>0</v>
      </c>
      <c r="X16" s="8">
        <v>0</v>
      </c>
      <c r="Y16" s="138">
        <f t="shared" si="0"/>
        <v>164000</v>
      </c>
      <c r="Z16" s="139">
        <f t="shared" si="1"/>
        <v>9000950</v>
      </c>
    </row>
    <row r="17" spans="1:26" ht="21.75">
      <c r="A17" s="4">
        <v>11</v>
      </c>
      <c r="B17" s="12" t="s">
        <v>54</v>
      </c>
      <c r="C17" s="23">
        <v>1981600</v>
      </c>
      <c r="D17" s="23">
        <v>2155750</v>
      </c>
      <c r="E17" s="23">
        <v>39150</v>
      </c>
      <c r="F17" s="137">
        <f t="shared" si="2"/>
        <v>4176500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304750</v>
      </c>
      <c r="R17" s="8">
        <v>30547</v>
      </c>
      <c r="S17" s="8">
        <v>0</v>
      </c>
      <c r="T17" s="8">
        <v>0</v>
      </c>
      <c r="U17" s="8">
        <v>0</v>
      </c>
      <c r="V17" s="8">
        <v>187000</v>
      </c>
      <c r="W17" s="8">
        <v>0</v>
      </c>
      <c r="X17" s="8">
        <v>0</v>
      </c>
      <c r="Y17" s="138">
        <f t="shared" si="0"/>
        <v>522297</v>
      </c>
      <c r="Z17" s="139">
        <f t="shared" si="1"/>
        <v>4698797</v>
      </c>
    </row>
    <row r="18" spans="1:26" s="11" customFormat="1" ht="21.75">
      <c r="A18" s="4">
        <v>12</v>
      </c>
      <c r="B18" s="9" t="s">
        <v>8</v>
      </c>
      <c r="C18" s="29">
        <v>0</v>
      </c>
      <c r="D18" s="28">
        <v>0</v>
      </c>
      <c r="E18" s="28">
        <v>0</v>
      </c>
      <c r="F18" s="140">
        <v>28258234.75</v>
      </c>
      <c r="G18" s="8">
        <v>1757000</v>
      </c>
      <c r="H18" s="8">
        <v>0</v>
      </c>
      <c r="I18" s="8">
        <v>70376.63</v>
      </c>
      <c r="J18" s="8">
        <v>319125.19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29684276</v>
      </c>
      <c r="R18" s="8">
        <v>20000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138">
        <f t="shared" si="0"/>
        <v>31850777.82</v>
      </c>
      <c r="Z18" s="139">
        <f t="shared" si="1"/>
        <v>60109012.57</v>
      </c>
    </row>
    <row r="19" spans="1:26" ht="21.75">
      <c r="A19" s="4">
        <v>13</v>
      </c>
      <c r="B19" s="9" t="s">
        <v>37</v>
      </c>
      <c r="C19" s="23">
        <v>1914750</v>
      </c>
      <c r="D19" s="23">
        <v>1955000</v>
      </c>
      <c r="E19" s="23">
        <v>0</v>
      </c>
      <c r="F19" s="137">
        <f t="shared" si="2"/>
        <v>3869750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138">
        <f t="shared" si="0"/>
        <v>0</v>
      </c>
      <c r="Z19" s="139">
        <f t="shared" si="1"/>
        <v>3869750</v>
      </c>
    </row>
    <row r="20" spans="1:26" ht="21.75">
      <c r="A20" s="4">
        <v>14</v>
      </c>
      <c r="B20" s="9" t="s">
        <v>9</v>
      </c>
      <c r="C20" s="23">
        <v>0</v>
      </c>
      <c r="D20" s="23">
        <v>0</v>
      </c>
      <c r="E20" s="23">
        <v>0</v>
      </c>
      <c r="F20" s="137">
        <f>SUM(C20:E20)</f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100000</v>
      </c>
      <c r="X20" s="8">
        <v>0</v>
      </c>
      <c r="Y20" s="138">
        <f t="shared" si="0"/>
        <v>100000</v>
      </c>
      <c r="Z20" s="139">
        <f t="shared" si="1"/>
        <v>100000</v>
      </c>
    </row>
    <row r="21" spans="1:26" ht="21.75">
      <c r="A21" s="4">
        <v>15</v>
      </c>
      <c r="B21" s="9" t="s">
        <v>14</v>
      </c>
      <c r="C21" s="23">
        <v>0</v>
      </c>
      <c r="D21" s="23">
        <v>0</v>
      </c>
      <c r="E21" s="23">
        <v>0</v>
      </c>
      <c r="F21" s="141">
        <f aca="true" t="shared" si="3" ref="F21:F38">SUM(C21:E21)</f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670832.39</v>
      </c>
      <c r="T21" s="8">
        <v>0</v>
      </c>
      <c r="U21" s="8">
        <v>0</v>
      </c>
      <c r="V21" s="8">
        <v>57153</v>
      </c>
      <c r="W21" s="8">
        <v>0</v>
      </c>
      <c r="X21" s="8">
        <v>0</v>
      </c>
      <c r="Y21" s="138">
        <f t="shared" si="0"/>
        <v>727985.39</v>
      </c>
      <c r="Z21" s="139">
        <f t="shared" si="1"/>
        <v>727985.39</v>
      </c>
    </row>
    <row r="22" spans="1:26" ht="21.75">
      <c r="A22" s="4">
        <v>16</v>
      </c>
      <c r="B22" s="9" t="s">
        <v>15</v>
      </c>
      <c r="C22" s="23">
        <v>0</v>
      </c>
      <c r="D22" s="23">
        <v>0</v>
      </c>
      <c r="E22" s="23">
        <v>0</v>
      </c>
      <c r="F22" s="141">
        <f t="shared" si="3"/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979290</v>
      </c>
      <c r="R22" s="8">
        <v>2340000</v>
      </c>
      <c r="S22" s="8">
        <v>0</v>
      </c>
      <c r="T22" s="8">
        <v>0</v>
      </c>
      <c r="U22" s="8">
        <v>0</v>
      </c>
      <c r="V22" s="8">
        <v>0</v>
      </c>
      <c r="W22" s="8">
        <v>535000</v>
      </c>
      <c r="X22" s="8">
        <v>0</v>
      </c>
      <c r="Y22" s="138">
        <f t="shared" si="0"/>
        <v>3854290</v>
      </c>
      <c r="Z22" s="139">
        <f t="shared" si="1"/>
        <v>3854290</v>
      </c>
    </row>
    <row r="23" spans="1:26" ht="21.75">
      <c r="A23" s="4">
        <v>17</v>
      </c>
      <c r="B23" s="5" t="s">
        <v>17</v>
      </c>
      <c r="C23" s="23">
        <v>0</v>
      </c>
      <c r="D23" s="23">
        <v>0</v>
      </c>
      <c r="E23" s="23">
        <v>0</v>
      </c>
      <c r="F23" s="141">
        <f t="shared" si="3"/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138">
        <f t="shared" si="0"/>
        <v>0</v>
      </c>
      <c r="Z23" s="139">
        <f t="shared" si="1"/>
        <v>0</v>
      </c>
    </row>
    <row r="24" spans="1:26" ht="21.75">
      <c r="A24" s="4">
        <v>18</v>
      </c>
      <c r="B24" s="9" t="s">
        <v>11</v>
      </c>
      <c r="C24" s="23">
        <v>0</v>
      </c>
      <c r="D24" s="23">
        <v>0</v>
      </c>
      <c r="E24" s="23">
        <v>0</v>
      </c>
      <c r="F24" s="141">
        <f t="shared" si="3"/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497215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8">
        <f t="shared" si="0"/>
        <v>497215</v>
      </c>
      <c r="Z24" s="139">
        <f t="shared" si="1"/>
        <v>497215</v>
      </c>
    </row>
    <row r="25" spans="1:26" ht="21.75">
      <c r="A25" s="4">
        <v>19</v>
      </c>
      <c r="B25" s="9" t="s">
        <v>13</v>
      </c>
      <c r="C25" s="23">
        <v>0</v>
      </c>
      <c r="D25" s="23">
        <v>0</v>
      </c>
      <c r="E25" s="23">
        <v>0</v>
      </c>
      <c r="F25" s="141">
        <f t="shared" si="3"/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45500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138">
        <f t="shared" si="0"/>
        <v>45500</v>
      </c>
      <c r="Z25" s="139">
        <f t="shared" si="1"/>
        <v>45500</v>
      </c>
    </row>
    <row r="26" spans="1:26" ht="21.75">
      <c r="A26" s="4">
        <v>20</v>
      </c>
      <c r="B26" s="9" t="s">
        <v>10</v>
      </c>
      <c r="C26" s="23">
        <v>0</v>
      </c>
      <c r="D26" s="23">
        <v>0</v>
      </c>
      <c r="E26" s="23">
        <v>0</v>
      </c>
      <c r="F26" s="141">
        <f t="shared" si="3"/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50000</v>
      </c>
      <c r="U26" s="8">
        <v>0</v>
      </c>
      <c r="V26" s="8">
        <v>0</v>
      </c>
      <c r="W26" s="8">
        <v>0</v>
      </c>
      <c r="X26" s="8">
        <v>0</v>
      </c>
      <c r="Y26" s="138">
        <f t="shared" si="0"/>
        <v>50000</v>
      </c>
      <c r="Z26" s="139">
        <f t="shared" si="1"/>
        <v>50000</v>
      </c>
    </row>
    <row r="27" spans="1:26" ht="21.75">
      <c r="A27" s="4">
        <v>21</v>
      </c>
      <c r="B27" s="5" t="s">
        <v>12</v>
      </c>
      <c r="C27" s="23">
        <v>0</v>
      </c>
      <c r="D27" s="23">
        <v>0</v>
      </c>
      <c r="E27" s="23">
        <v>0</v>
      </c>
      <c r="F27" s="141">
        <f t="shared" si="3"/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138">
        <f t="shared" si="0"/>
        <v>0</v>
      </c>
      <c r="Z27" s="139">
        <f t="shared" si="1"/>
        <v>0</v>
      </c>
    </row>
    <row r="28" spans="1:26" ht="21.75">
      <c r="A28" s="4">
        <v>22</v>
      </c>
      <c r="B28" s="9" t="s">
        <v>27</v>
      </c>
      <c r="C28" s="23">
        <v>0</v>
      </c>
      <c r="D28" s="23">
        <v>0</v>
      </c>
      <c r="E28" s="23">
        <v>0</v>
      </c>
      <c r="F28" s="141">
        <f t="shared" si="3"/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3323.62</v>
      </c>
      <c r="V28" s="8">
        <v>0</v>
      </c>
      <c r="W28" s="8">
        <v>0</v>
      </c>
      <c r="X28" s="8">
        <v>0</v>
      </c>
      <c r="Y28" s="138">
        <f t="shared" si="0"/>
        <v>3323.62</v>
      </c>
      <c r="Z28" s="139">
        <f t="shared" si="1"/>
        <v>3323.62</v>
      </c>
    </row>
    <row r="29" spans="1:26" ht="21.75">
      <c r="A29" s="4">
        <v>23</v>
      </c>
      <c r="B29" s="5" t="s">
        <v>28</v>
      </c>
      <c r="C29" s="23">
        <v>0</v>
      </c>
      <c r="D29" s="23">
        <v>0</v>
      </c>
      <c r="E29" s="23">
        <v>0</v>
      </c>
      <c r="F29" s="141">
        <f t="shared" si="3"/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27405177.47</v>
      </c>
      <c r="V29" s="8">
        <v>0</v>
      </c>
      <c r="W29" s="8">
        <v>0</v>
      </c>
      <c r="X29" s="8">
        <v>0</v>
      </c>
      <c r="Y29" s="138">
        <f t="shared" si="0"/>
        <v>27405177.47</v>
      </c>
      <c r="Z29" s="139">
        <f t="shared" si="1"/>
        <v>27405177.47</v>
      </c>
    </row>
    <row r="30" spans="1:26" ht="21.75">
      <c r="A30" s="4">
        <v>24</v>
      </c>
      <c r="B30" s="9" t="s">
        <v>18</v>
      </c>
      <c r="C30" s="23">
        <v>0</v>
      </c>
      <c r="D30" s="23">
        <v>0</v>
      </c>
      <c r="E30" s="23">
        <v>0</v>
      </c>
      <c r="F30" s="141">
        <f t="shared" si="3"/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100100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138">
        <f t="shared" si="0"/>
        <v>100100</v>
      </c>
      <c r="Z30" s="139">
        <f t="shared" si="1"/>
        <v>100100</v>
      </c>
    </row>
    <row r="31" spans="1:26" ht="21.75">
      <c r="A31" s="4">
        <v>25</v>
      </c>
      <c r="B31" s="9" t="s">
        <v>19</v>
      </c>
      <c r="C31" s="23">
        <v>0</v>
      </c>
      <c r="D31" s="23">
        <v>0</v>
      </c>
      <c r="E31" s="23">
        <v>0</v>
      </c>
      <c r="F31" s="141">
        <f t="shared" si="3"/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138">
        <f t="shared" si="0"/>
        <v>0</v>
      </c>
      <c r="Z31" s="139">
        <f t="shared" si="1"/>
        <v>0</v>
      </c>
    </row>
    <row r="32" spans="1:26" ht="21.75">
      <c r="A32" s="4">
        <v>26</v>
      </c>
      <c r="B32" s="9" t="s">
        <v>20</v>
      </c>
      <c r="C32" s="23">
        <v>0</v>
      </c>
      <c r="D32" s="23">
        <v>0</v>
      </c>
      <c r="E32" s="23">
        <v>0</v>
      </c>
      <c r="F32" s="141">
        <f t="shared" si="3"/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2599543.24</v>
      </c>
      <c r="X32" s="8">
        <v>0</v>
      </c>
      <c r="Y32" s="138">
        <f t="shared" si="0"/>
        <v>2599543.24</v>
      </c>
      <c r="Z32" s="139">
        <f t="shared" si="1"/>
        <v>2599543.24</v>
      </c>
    </row>
    <row r="33" spans="1:26" ht="21.75">
      <c r="A33" s="4">
        <v>27</v>
      </c>
      <c r="B33" s="9" t="s">
        <v>21</v>
      </c>
      <c r="C33" s="23">
        <v>0</v>
      </c>
      <c r="D33" s="23">
        <v>0</v>
      </c>
      <c r="E33" s="23">
        <v>0</v>
      </c>
      <c r="F33" s="141">
        <f t="shared" si="3"/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2000000</v>
      </c>
      <c r="W33" s="8">
        <v>1316871</v>
      </c>
      <c r="X33" s="8">
        <v>0</v>
      </c>
      <c r="Y33" s="138">
        <f t="shared" si="0"/>
        <v>3316871</v>
      </c>
      <c r="Z33" s="139">
        <f t="shared" si="1"/>
        <v>3316871</v>
      </c>
    </row>
    <row r="34" spans="1:26" ht="21.75">
      <c r="A34" s="4">
        <v>28</v>
      </c>
      <c r="B34" s="9" t="s">
        <v>49</v>
      </c>
      <c r="C34" s="23">
        <v>0</v>
      </c>
      <c r="D34" s="23">
        <v>0</v>
      </c>
      <c r="E34" s="23">
        <v>0</v>
      </c>
      <c r="F34" s="141">
        <f>SUM(C34:E34)</f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7765565</v>
      </c>
      <c r="W34" s="8">
        <v>356600</v>
      </c>
      <c r="X34" s="8">
        <v>0</v>
      </c>
      <c r="Y34" s="138">
        <f t="shared" si="0"/>
        <v>8122165</v>
      </c>
      <c r="Z34" s="139">
        <f t="shared" si="1"/>
        <v>8122165</v>
      </c>
    </row>
    <row r="35" spans="1:26" ht="21.75">
      <c r="A35" s="4">
        <v>29</v>
      </c>
      <c r="B35" s="9" t="s">
        <v>22</v>
      </c>
      <c r="C35" s="23">
        <v>0</v>
      </c>
      <c r="D35" s="23">
        <v>0</v>
      </c>
      <c r="E35" s="23">
        <v>0</v>
      </c>
      <c r="F35" s="141">
        <f t="shared" si="3"/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903224.63</v>
      </c>
      <c r="T35" s="8">
        <v>0</v>
      </c>
      <c r="U35" s="8">
        <v>0</v>
      </c>
      <c r="V35" s="8">
        <v>263243</v>
      </c>
      <c r="W35" s="8">
        <v>358404</v>
      </c>
      <c r="X35" s="8">
        <v>0</v>
      </c>
      <c r="Y35" s="138">
        <f t="shared" si="0"/>
        <v>1524871.63</v>
      </c>
      <c r="Z35" s="139">
        <f t="shared" si="1"/>
        <v>1524871.63</v>
      </c>
    </row>
    <row r="36" spans="1:26" ht="21.75">
      <c r="A36" s="4">
        <v>30</v>
      </c>
      <c r="B36" s="9" t="s">
        <v>23</v>
      </c>
      <c r="C36" s="23">
        <v>0</v>
      </c>
      <c r="D36" s="23">
        <v>0</v>
      </c>
      <c r="E36" s="23">
        <v>0</v>
      </c>
      <c r="F36" s="141">
        <f t="shared" si="3"/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5076553.29</v>
      </c>
      <c r="T36" s="8">
        <v>0</v>
      </c>
      <c r="U36" s="8">
        <v>0</v>
      </c>
      <c r="V36" s="8">
        <v>30800</v>
      </c>
      <c r="W36" s="8">
        <v>0</v>
      </c>
      <c r="X36" s="8">
        <v>0</v>
      </c>
      <c r="Y36" s="138">
        <f t="shared" si="0"/>
        <v>5107353.29</v>
      </c>
      <c r="Z36" s="139">
        <f t="shared" si="1"/>
        <v>5107353.29</v>
      </c>
    </row>
    <row r="37" spans="1:26" ht="21.75">
      <c r="A37" s="4">
        <v>31</v>
      </c>
      <c r="B37" s="9" t="s">
        <v>24</v>
      </c>
      <c r="C37" s="23">
        <v>0</v>
      </c>
      <c r="D37" s="23">
        <v>0</v>
      </c>
      <c r="E37" s="23">
        <v>0</v>
      </c>
      <c r="F37" s="141">
        <f t="shared" si="3"/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f>242636.88+250933.12+936717.08</f>
        <v>1430287.08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138">
        <f t="shared" si="0"/>
        <v>1430287.08</v>
      </c>
      <c r="Z37" s="139">
        <f t="shared" si="1"/>
        <v>1430287.08</v>
      </c>
    </row>
    <row r="38" spans="1:26" ht="21.75">
      <c r="A38" s="4">
        <v>32</v>
      </c>
      <c r="B38" s="12" t="s">
        <v>50</v>
      </c>
      <c r="C38" s="23">
        <v>0</v>
      </c>
      <c r="D38" s="23">
        <v>0</v>
      </c>
      <c r="E38" s="23">
        <v>0</v>
      </c>
      <c r="F38" s="141">
        <f t="shared" si="3"/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138">
        <f t="shared" si="0"/>
        <v>0</v>
      </c>
      <c r="Z38" s="139">
        <f t="shared" si="1"/>
        <v>0</v>
      </c>
    </row>
    <row r="39" spans="1:26" ht="21.75">
      <c r="A39" s="4">
        <v>33</v>
      </c>
      <c r="B39" s="12" t="s">
        <v>63</v>
      </c>
      <c r="C39" s="23">
        <v>0</v>
      </c>
      <c r="D39" s="23">
        <v>0</v>
      </c>
      <c r="E39" s="23">
        <v>0</v>
      </c>
      <c r="F39" s="141">
        <f>SUM(C39:E39)</f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88043560</v>
      </c>
      <c r="R39" s="8">
        <v>950449.2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138">
        <f t="shared" si="0"/>
        <v>88994009.2</v>
      </c>
      <c r="Z39" s="139">
        <f t="shared" si="1"/>
        <v>88994009.2</v>
      </c>
    </row>
    <row r="40" spans="1:26" ht="21.75">
      <c r="A40" s="4">
        <v>34</v>
      </c>
      <c r="B40" s="12" t="s">
        <v>68</v>
      </c>
      <c r="C40" s="23">
        <v>0</v>
      </c>
      <c r="D40" s="23">
        <v>0</v>
      </c>
      <c r="E40" s="23">
        <v>0</v>
      </c>
      <c r="F40" s="141">
        <f>SUM(C40:E40)</f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24500</v>
      </c>
      <c r="X40" s="8">
        <v>0</v>
      </c>
      <c r="Y40" s="138">
        <f t="shared" si="0"/>
        <v>24500</v>
      </c>
      <c r="Z40" s="139">
        <f t="shared" si="1"/>
        <v>24500</v>
      </c>
    </row>
    <row r="41" spans="1:26" ht="21.75">
      <c r="A41" s="4">
        <v>35</v>
      </c>
      <c r="B41" s="12" t="s">
        <v>111</v>
      </c>
      <c r="C41" s="23">
        <v>0</v>
      </c>
      <c r="D41" s="23">
        <v>0</v>
      </c>
      <c r="E41" s="23">
        <v>0</v>
      </c>
      <c r="F41" s="141">
        <v>3420000</v>
      </c>
      <c r="G41" s="8">
        <v>1710000</v>
      </c>
      <c r="H41" s="8">
        <v>0</v>
      </c>
      <c r="I41" s="8">
        <v>4574033</v>
      </c>
      <c r="J41" s="8">
        <v>387.24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138">
        <f>SUM(G41:X41)</f>
        <v>6284420.24</v>
      </c>
      <c r="Z41" s="139">
        <f>SUM(F41+Y41)</f>
        <v>9704420.24</v>
      </c>
    </row>
    <row r="42" spans="1:26" ht="21.75">
      <c r="A42" s="4" t="s">
        <v>47</v>
      </c>
      <c r="B42" s="12" t="s">
        <v>43</v>
      </c>
      <c r="C42" s="23">
        <v>0</v>
      </c>
      <c r="D42" s="23">
        <v>0</v>
      </c>
      <c r="E42" s="23">
        <v>0</v>
      </c>
      <c r="F42" s="141">
        <f>SUM(C42:E42)</f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499897.85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138">
        <f t="shared" si="0"/>
        <v>499897.85</v>
      </c>
      <c r="Z42" s="139">
        <f t="shared" si="1"/>
        <v>499897.85</v>
      </c>
    </row>
    <row r="43" spans="1:26" s="11" customFormat="1" ht="24">
      <c r="A43" s="10" t="s">
        <v>40</v>
      </c>
      <c r="B43" s="12" t="s">
        <v>39</v>
      </c>
      <c r="C43" s="142"/>
      <c r="D43" s="143">
        <f>SUM(F54)</f>
        <v>-5311854.620000005</v>
      </c>
      <c r="E43" s="144"/>
      <c r="F43" s="145">
        <f>SUM(C43:E43)</f>
        <v>-5311854.620000005</v>
      </c>
      <c r="G43" s="8">
        <v>4433250</v>
      </c>
      <c r="H43" s="8">
        <v>5649650</v>
      </c>
      <c r="I43" s="8">
        <v>28160288.42</v>
      </c>
      <c r="J43" s="8">
        <v>13643051.93</v>
      </c>
      <c r="K43" s="8">
        <v>536197.44</v>
      </c>
      <c r="L43" s="8">
        <v>4932770.94</v>
      </c>
      <c r="M43" s="8">
        <v>8929466.51</v>
      </c>
      <c r="N43" s="8">
        <v>5833706.34</v>
      </c>
      <c r="O43" s="8">
        <v>1004422</v>
      </c>
      <c r="P43" s="8">
        <v>486760.4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/>
      <c r="Y43" s="138">
        <f t="shared" si="0"/>
        <v>73609563.98</v>
      </c>
      <c r="Z43" s="139">
        <f t="shared" si="1"/>
        <v>68297709.36</v>
      </c>
    </row>
    <row r="44" spans="3:26" s="11" customFormat="1" ht="22.5" thickBot="1">
      <c r="C44" s="26"/>
      <c r="D44" s="26"/>
      <c r="E44" s="26"/>
      <c r="F44" s="146">
        <f aca="true" t="shared" si="4" ref="F44:X44">SUM(F7:F43)</f>
        <v>347966467.63</v>
      </c>
      <c r="G44" s="13">
        <f t="shared" si="4"/>
        <v>7900250</v>
      </c>
      <c r="H44" s="13">
        <f t="shared" si="4"/>
        <v>5649650</v>
      </c>
      <c r="I44" s="13">
        <f t="shared" si="4"/>
        <v>32804698.05</v>
      </c>
      <c r="J44" s="13">
        <f t="shared" si="4"/>
        <v>13962564.36</v>
      </c>
      <c r="K44" s="13">
        <f t="shared" si="4"/>
        <v>536197.44</v>
      </c>
      <c r="L44" s="13">
        <f t="shared" si="4"/>
        <v>4932770.94</v>
      </c>
      <c r="M44" s="13">
        <f t="shared" si="4"/>
        <v>8929466.51</v>
      </c>
      <c r="N44" s="13">
        <f t="shared" si="4"/>
        <v>5833706.34</v>
      </c>
      <c r="O44" s="13">
        <f t="shared" si="4"/>
        <v>1004422</v>
      </c>
      <c r="P44" s="13">
        <f t="shared" si="4"/>
        <v>486760.4</v>
      </c>
      <c r="Q44" s="13">
        <f t="shared" si="4"/>
        <v>129205363</v>
      </c>
      <c r="R44" s="13">
        <f t="shared" si="4"/>
        <v>16840806.56</v>
      </c>
      <c r="S44" s="13">
        <f t="shared" si="4"/>
        <v>12987357.79</v>
      </c>
      <c r="T44" s="13">
        <f t="shared" si="4"/>
        <v>50000</v>
      </c>
      <c r="U44" s="13">
        <f t="shared" si="4"/>
        <v>27408501.09</v>
      </c>
      <c r="V44" s="13">
        <f t="shared" si="4"/>
        <v>10601461</v>
      </c>
      <c r="W44" s="13">
        <f t="shared" si="4"/>
        <v>21089749.009999998</v>
      </c>
      <c r="X44" s="13">
        <f t="shared" si="4"/>
        <v>0</v>
      </c>
      <c r="Y44" s="147">
        <f>SUM(Y7:Y43)</f>
        <v>300223724.49</v>
      </c>
      <c r="Z44" s="148">
        <f>SUM(Z7:Z43)</f>
        <v>648190192.1200001</v>
      </c>
    </row>
    <row r="45" spans="2:26" ht="22.5" thickTop="1">
      <c r="B45" s="1" t="s">
        <v>119</v>
      </c>
      <c r="C45" s="26"/>
      <c r="D45" s="26"/>
      <c r="E45" s="26"/>
      <c r="F45" s="14"/>
      <c r="Z45" s="14"/>
    </row>
    <row r="46" spans="1:6" s="36" customFormat="1" ht="24">
      <c r="A46" s="33"/>
      <c r="B46" s="34"/>
      <c r="C46" s="35"/>
      <c r="D46" s="149"/>
      <c r="E46" s="150"/>
      <c r="F46" s="151"/>
    </row>
    <row r="47" spans="1:6" s="36" customFormat="1" ht="24">
      <c r="A47" s="22"/>
      <c r="B47" s="37"/>
      <c r="C47" s="16"/>
      <c r="D47" s="16"/>
      <c r="E47" s="151"/>
      <c r="F47" s="151"/>
    </row>
    <row r="48" spans="3:26" s="16" customFormat="1" ht="21">
      <c r="C48" s="152"/>
      <c r="D48" s="152"/>
      <c r="E48" s="152"/>
      <c r="F48" s="153"/>
      <c r="Y48" s="35"/>
      <c r="Z48" s="153"/>
    </row>
    <row r="49" ht="18.75">
      <c r="F49" s="14"/>
    </row>
    <row r="50" ht="18.75">
      <c r="F50" s="15"/>
    </row>
    <row r="51" ht="18.75">
      <c r="F51" s="14"/>
    </row>
    <row r="52" spans="4:26" ht="18.75">
      <c r="D52" s="1" t="s">
        <v>86</v>
      </c>
      <c r="F52" s="14">
        <v>347966467.63</v>
      </c>
      <c r="Z52" s="14"/>
    </row>
    <row r="53" spans="6:26" ht="18.75">
      <c r="F53" s="14">
        <f>SUM(F7:F42)</f>
        <v>353278322.25</v>
      </c>
      <c r="Z53" s="14"/>
    </row>
    <row r="54" ht="18.75">
      <c r="F54" s="14">
        <f>SUM(F52-F53)</f>
        <v>-5311854.620000005</v>
      </c>
    </row>
    <row r="55" ht="18.75">
      <c r="F55" s="14">
        <f>SUM(F44-F52)</f>
        <v>0</v>
      </c>
    </row>
    <row r="56" ht="18.75">
      <c r="F56" s="14"/>
    </row>
  </sheetData>
  <sheetProtection/>
  <mergeCells count="8">
    <mergeCell ref="A1:Z1"/>
    <mergeCell ref="A2:Z2"/>
    <mergeCell ref="A3:Z3"/>
    <mergeCell ref="A5:A6"/>
    <mergeCell ref="B5:B6"/>
    <mergeCell ref="C5:F5"/>
    <mergeCell ref="G5:Y5"/>
    <mergeCell ref="Z5:Z6"/>
  </mergeCells>
  <printOptions/>
  <pageMargins left="0.2" right="0.22" top="0.75" bottom="0.75" header="0.3" footer="0.3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B57"/>
  <sheetViews>
    <sheetView zoomScalePageLayoutView="0" workbookViewId="0" topLeftCell="A1">
      <pane xSplit="2" ySplit="6" topLeftCell="C2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0" sqref="E40"/>
    </sheetView>
  </sheetViews>
  <sheetFormatPr defaultColWidth="9.140625" defaultRowHeight="15"/>
  <cols>
    <col min="1" max="1" width="2.8515625" style="1" bestFit="1" customWidth="1"/>
    <col min="2" max="2" width="32.57421875" style="1" customWidth="1"/>
    <col min="3" max="4" width="12.7109375" style="1" customWidth="1"/>
    <col min="5" max="5" width="10.8515625" style="1" customWidth="1"/>
    <col min="6" max="6" width="13.00390625" style="3" customWidth="1"/>
    <col min="7" max="7" width="12.421875" style="1" customWidth="1"/>
    <col min="8" max="8" width="12.28125" style="1" bestFit="1" customWidth="1"/>
    <col min="9" max="11" width="12.421875" style="1" customWidth="1"/>
    <col min="12" max="13" width="12.28125" style="1" bestFit="1" customWidth="1"/>
    <col min="14" max="14" width="12.140625" style="1" customWidth="1"/>
    <col min="15" max="21" width="13.28125" style="1" customWidth="1"/>
    <col min="22" max="22" width="13.421875" style="1" bestFit="1" customWidth="1"/>
    <col min="23" max="23" width="11.421875" style="1" customWidth="1"/>
    <col min="24" max="24" width="13.421875" style="1" bestFit="1" customWidth="1"/>
    <col min="25" max="25" width="12.421875" style="1" customWidth="1"/>
    <col min="26" max="26" width="13.140625" style="3" customWidth="1"/>
    <col min="27" max="27" width="13.28125" style="3" customWidth="1"/>
    <col min="28" max="16384" width="9.00390625" style="1" customWidth="1"/>
  </cols>
  <sheetData>
    <row r="1" spans="1:27" ht="24">
      <c r="A1" s="215" t="s">
        <v>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</row>
    <row r="2" spans="1:27" ht="24">
      <c r="A2" s="215" t="s">
        <v>105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7" ht="24">
      <c r="A3" s="216" t="s">
        <v>95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</row>
    <row r="4" spans="1:12" ht="21.75">
      <c r="A4" s="3"/>
      <c r="H4" s="129"/>
      <c r="L4" s="130"/>
    </row>
    <row r="5" spans="1:27" ht="22.5" customHeight="1">
      <c r="A5" s="217" t="s">
        <v>38</v>
      </c>
      <c r="B5" s="217" t="s">
        <v>45</v>
      </c>
      <c r="C5" s="227" t="s">
        <v>57</v>
      </c>
      <c r="D5" s="228"/>
      <c r="E5" s="228"/>
      <c r="F5" s="229"/>
      <c r="G5" s="227" t="s">
        <v>56</v>
      </c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9"/>
      <c r="AA5" s="225" t="s">
        <v>71</v>
      </c>
    </row>
    <row r="6" spans="1:27" ht="108.75">
      <c r="A6" s="218"/>
      <c r="B6" s="218"/>
      <c r="C6" s="131" t="s">
        <v>96</v>
      </c>
      <c r="D6" s="131" t="s">
        <v>97</v>
      </c>
      <c r="E6" s="131" t="s">
        <v>98</v>
      </c>
      <c r="F6" s="154" t="s">
        <v>90</v>
      </c>
      <c r="G6" s="133" t="s">
        <v>75</v>
      </c>
      <c r="H6" s="133" t="s">
        <v>76</v>
      </c>
      <c r="I6" s="133" t="s">
        <v>77</v>
      </c>
      <c r="J6" s="133" t="s">
        <v>78</v>
      </c>
      <c r="K6" s="133" t="s">
        <v>41</v>
      </c>
      <c r="L6" s="133" t="s">
        <v>79</v>
      </c>
      <c r="M6" s="133" t="s">
        <v>80</v>
      </c>
      <c r="N6" s="133" t="s">
        <v>81</v>
      </c>
      <c r="O6" s="131" t="s">
        <v>82</v>
      </c>
      <c r="P6" s="131" t="s">
        <v>83</v>
      </c>
      <c r="Q6" s="134" t="s">
        <v>29</v>
      </c>
      <c r="R6" s="135" t="s">
        <v>31</v>
      </c>
      <c r="S6" s="135" t="s">
        <v>30</v>
      </c>
      <c r="T6" s="135" t="s">
        <v>32</v>
      </c>
      <c r="U6" s="135" t="s">
        <v>62</v>
      </c>
      <c r="V6" s="135" t="s">
        <v>34</v>
      </c>
      <c r="W6" s="17" t="s">
        <v>41</v>
      </c>
      <c r="X6" s="17" t="s">
        <v>46</v>
      </c>
      <c r="Y6" s="18" t="s">
        <v>65</v>
      </c>
      <c r="Z6" s="155" t="s">
        <v>84</v>
      </c>
      <c r="AA6" s="226"/>
    </row>
    <row r="7" spans="1:27" ht="21.75">
      <c r="A7" s="4">
        <v>1</v>
      </c>
      <c r="B7" s="5" t="s">
        <v>6</v>
      </c>
      <c r="C7" s="23">
        <f>4366750+23000+36600</f>
        <v>4426350</v>
      </c>
      <c r="D7" s="23">
        <f>4313750+11500+36600</f>
        <v>4361850</v>
      </c>
      <c r="E7" s="23">
        <f>87000</f>
        <v>87000</v>
      </c>
      <c r="F7" s="24">
        <f>SUM(C7:E7)</f>
        <v>8875200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121800</v>
      </c>
      <c r="R7" s="8">
        <v>0</v>
      </c>
      <c r="S7" s="8">
        <v>0</v>
      </c>
      <c r="T7" s="8">
        <v>2888880.08</v>
      </c>
      <c r="U7" s="8">
        <v>0</v>
      </c>
      <c r="V7" s="8">
        <v>0</v>
      </c>
      <c r="W7" s="8">
        <v>27000</v>
      </c>
      <c r="X7" s="8">
        <v>0</v>
      </c>
      <c r="Y7" s="8">
        <v>3154000</v>
      </c>
      <c r="Z7" s="38">
        <f>SUM(G7:Y7)</f>
        <v>6191680.08</v>
      </c>
      <c r="AA7" s="7">
        <f aca="true" t="shared" si="0" ref="AA7:AA14">SUM(F7+Z7)</f>
        <v>15066880.08</v>
      </c>
    </row>
    <row r="8" spans="1:27" ht="21.75">
      <c r="A8" s="4">
        <v>2</v>
      </c>
      <c r="B8" s="5" t="s">
        <v>1</v>
      </c>
      <c r="C8" s="23">
        <f>3494000+16209000+3378500</f>
        <v>23081500</v>
      </c>
      <c r="D8" s="23">
        <f>3369500+15789000+3113500</f>
        <v>22272000</v>
      </c>
      <c r="E8" s="23">
        <f>316250+776250+1203500</f>
        <v>2296000</v>
      </c>
      <c r="F8" s="24">
        <f aca="true" t="shared" si="1" ref="F8:F19">SUM(C8:E8)</f>
        <v>47649500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1088000</v>
      </c>
      <c r="R8" s="8">
        <v>464799</v>
      </c>
      <c r="S8" s="8">
        <v>7140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38">
        <f aca="true" t="shared" si="2" ref="Z8:Z44">SUM(G8:Y8)</f>
        <v>1559939</v>
      </c>
      <c r="AA8" s="7">
        <f t="shared" si="0"/>
        <v>49209439</v>
      </c>
    </row>
    <row r="9" spans="1:27" ht="21.75">
      <c r="A9" s="4">
        <v>3</v>
      </c>
      <c r="B9" s="9" t="s">
        <v>3</v>
      </c>
      <c r="C9" s="23">
        <f>27421250+164500+25000+555500</f>
        <v>28166250</v>
      </c>
      <c r="D9" s="23">
        <f>26748000+164500+25000+600000</f>
        <v>27537500</v>
      </c>
      <c r="E9" s="23">
        <f>195250+8500</f>
        <v>203750</v>
      </c>
      <c r="F9" s="24">
        <f t="shared" si="1"/>
        <v>55907500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1646175</v>
      </c>
      <c r="R9" s="8">
        <v>883177</v>
      </c>
      <c r="S9" s="8">
        <v>77395</v>
      </c>
      <c r="T9" s="8">
        <v>0</v>
      </c>
      <c r="U9" s="8">
        <v>0</v>
      </c>
      <c r="V9" s="8">
        <v>0</v>
      </c>
      <c r="W9" s="8">
        <v>0</v>
      </c>
      <c r="X9" s="8">
        <v>5850</v>
      </c>
      <c r="Y9" s="8">
        <v>0</v>
      </c>
      <c r="Z9" s="38">
        <f t="shared" si="2"/>
        <v>2612597</v>
      </c>
      <c r="AA9" s="7">
        <f t="shared" si="0"/>
        <v>58520097</v>
      </c>
    </row>
    <row r="10" spans="1:27" ht="21.75">
      <c r="A10" s="4">
        <v>4</v>
      </c>
      <c r="B10" s="5" t="s">
        <v>5</v>
      </c>
      <c r="C10" s="23">
        <f>11747000+667000</f>
        <v>12414000</v>
      </c>
      <c r="D10" s="23">
        <f>11565000+675000</f>
        <v>12240000</v>
      </c>
      <c r="E10" s="23">
        <f>41250+237500</f>
        <v>278750</v>
      </c>
      <c r="F10" s="24">
        <f t="shared" si="1"/>
        <v>24932750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99155</v>
      </c>
      <c r="R10" s="8">
        <v>16000</v>
      </c>
      <c r="S10" s="8">
        <v>65000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38">
        <f t="shared" si="2"/>
        <v>180155</v>
      </c>
      <c r="AA10" s="7">
        <f t="shared" si="0"/>
        <v>25112905</v>
      </c>
    </row>
    <row r="11" spans="1:27" ht="21.75">
      <c r="A11" s="4">
        <v>5</v>
      </c>
      <c r="B11" s="5" t="s">
        <v>7</v>
      </c>
      <c r="C11" s="23">
        <f>9800500+226000+93000+212500+175000+162500</f>
        <v>10669500</v>
      </c>
      <c r="D11" s="23">
        <f>9419500+263500+106500+187500+175000+137500</f>
        <v>10289500</v>
      </c>
      <c r="E11" s="23">
        <f>327125+24000</f>
        <v>351125</v>
      </c>
      <c r="F11" s="24">
        <f t="shared" si="1"/>
        <v>21310125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979100</v>
      </c>
      <c r="R11" s="8">
        <v>2792774.44</v>
      </c>
      <c r="S11" s="8">
        <v>15783</v>
      </c>
      <c r="T11" s="8">
        <v>0</v>
      </c>
      <c r="U11" s="8">
        <v>0</v>
      </c>
      <c r="V11" s="8">
        <v>0</v>
      </c>
      <c r="W11" s="8">
        <v>0</v>
      </c>
      <c r="X11" s="8">
        <v>18602690</v>
      </c>
      <c r="Y11" s="8">
        <v>0</v>
      </c>
      <c r="Z11" s="38">
        <f t="shared" si="2"/>
        <v>22390347.44</v>
      </c>
      <c r="AA11" s="7">
        <f t="shared" si="0"/>
        <v>43700472.44</v>
      </c>
    </row>
    <row r="12" spans="1:27" ht="21.75">
      <c r="A12" s="4">
        <v>6</v>
      </c>
      <c r="B12" s="5" t="s">
        <v>35</v>
      </c>
      <c r="C12" s="23">
        <f>1642750+37500+150000</f>
        <v>1830250</v>
      </c>
      <c r="D12" s="23">
        <f>1602000+37500+125000</f>
        <v>1764500</v>
      </c>
      <c r="E12" s="23">
        <f>36000</f>
        <v>36000</v>
      </c>
      <c r="F12" s="24">
        <f t="shared" si="1"/>
        <v>3630750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443250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38">
        <f t="shared" si="2"/>
        <v>443250</v>
      </c>
      <c r="AA12" s="7">
        <f t="shared" si="0"/>
        <v>4074000</v>
      </c>
    </row>
    <row r="13" spans="1:27" ht="21.75">
      <c r="A13" s="4">
        <v>7</v>
      </c>
      <c r="B13" s="9" t="s">
        <v>2</v>
      </c>
      <c r="C13" s="23">
        <f>6298500</f>
        <v>6298500</v>
      </c>
      <c r="D13" s="23">
        <f>6066000</f>
        <v>6066000</v>
      </c>
      <c r="E13" s="23">
        <f>168000</f>
        <v>168000</v>
      </c>
      <c r="F13" s="24">
        <f t="shared" si="1"/>
        <v>12532500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215450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30000</v>
      </c>
      <c r="X13" s="8">
        <v>967000</v>
      </c>
      <c r="Y13" s="8">
        <v>0</v>
      </c>
      <c r="Z13" s="38">
        <f t="shared" si="2"/>
        <v>1212450</v>
      </c>
      <c r="AA13" s="7">
        <f t="shared" si="0"/>
        <v>13744950</v>
      </c>
    </row>
    <row r="14" spans="1:27" ht="21.75">
      <c r="A14" s="4">
        <v>8</v>
      </c>
      <c r="B14" s="5" t="s">
        <v>0</v>
      </c>
      <c r="C14" s="23">
        <f>3334250+27519500+1550250+4443000+1200750</f>
        <v>38047750</v>
      </c>
      <c r="D14" s="23">
        <f>1660000+27138000+1547000+4200500+1150000</f>
        <v>35695500</v>
      </c>
      <c r="E14" s="23">
        <f>574000+231000+1543500</f>
        <v>2348500</v>
      </c>
      <c r="F14" s="24">
        <f t="shared" si="1"/>
        <v>76091750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4363247</v>
      </c>
      <c r="R14" s="8">
        <v>625000</v>
      </c>
      <c r="S14" s="8">
        <v>1521</v>
      </c>
      <c r="T14" s="8">
        <v>0</v>
      </c>
      <c r="U14" s="8">
        <v>0</v>
      </c>
      <c r="V14" s="8">
        <v>0</v>
      </c>
      <c r="W14" s="8">
        <v>9000</v>
      </c>
      <c r="X14" s="8">
        <v>11776600</v>
      </c>
      <c r="Y14" s="8">
        <v>0</v>
      </c>
      <c r="Z14" s="38">
        <f t="shared" si="2"/>
        <v>16775368</v>
      </c>
      <c r="AA14" s="7">
        <f t="shared" si="0"/>
        <v>92867118</v>
      </c>
    </row>
    <row r="15" spans="1:27" ht="21.75">
      <c r="A15" s="4">
        <v>9</v>
      </c>
      <c r="B15" s="9" t="s">
        <v>4</v>
      </c>
      <c r="C15" s="23">
        <f>23038250+5469250+101000+479500+3750</f>
        <v>29091750</v>
      </c>
      <c r="D15" s="23">
        <f>22553500+5124000+40000+244000</f>
        <v>27961500</v>
      </c>
      <c r="E15" s="23">
        <f>1997000+2299500+20000+67500</f>
        <v>4384000</v>
      </c>
      <c r="F15" s="24">
        <f t="shared" si="1"/>
        <v>61437250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308500</v>
      </c>
      <c r="R15" s="8">
        <v>4681650</v>
      </c>
      <c r="S15" s="8">
        <v>5876</v>
      </c>
      <c r="T15" s="8">
        <v>0</v>
      </c>
      <c r="U15" s="8">
        <v>0</v>
      </c>
      <c r="V15" s="8">
        <v>0</v>
      </c>
      <c r="W15" s="8">
        <v>13000</v>
      </c>
      <c r="X15" s="8">
        <v>0</v>
      </c>
      <c r="Y15" s="8">
        <v>0</v>
      </c>
      <c r="Z15" s="38">
        <f t="shared" si="2"/>
        <v>5009026</v>
      </c>
      <c r="AA15" s="7">
        <f aca="true" t="shared" si="3" ref="AA15:AA44">SUM(F15+Z15)</f>
        <v>66446276</v>
      </c>
    </row>
    <row r="16" spans="1:27" ht="21.75">
      <c r="A16" s="4">
        <v>10</v>
      </c>
      <c r="B16" s="9" t="s">
        <v>36</v>
      </c>
      <c r="C16" s="23">
        <f>2874250</f>
        <v>2874250</v>
      </c>
      <c r="D16" s="23">
        <f>2834000</f>
        <v>2834000</v>
      </c>
      <c r="E16" s="23">
        <f>643500</f>
        <v>643500</v>
      </c>
      <c r="F16" s="24">
        <f t="shared" si="1"/>
        <v>6351750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100000</v>
      </c>
      <c r="X16" s="8">
        <v>0</v>
      </c>
      <c r="Y16" s="8">
        <v>0</v>
      </c>
      <c r="Z16" s="38">
        <f t="shared" si="2"/>
        <v>100000</v>
      </c>
      <c r="AA16" s="7">
        <f t="shared" si="3"/>
        <v>6451750</v>
      </c>
    </row>
    <row r="17" spans="1:27" ht="21.75">
      <c r="A17" s="4">
        <v>11</v>
      </c>
      <c r="B17" s="12" t="s">
        <v>54</v>
      </c>
      <c r="C17" s="23">
        <f>1348500</f>
        <v>1348500</v>
      </c>
      <c r="D17" s="23">
        <f>1326750</f>
        <v>1326750</v>
      </c>
      <c r="E17" s="23">
        <f>14500</f>
        <v>14500</v>
      </c>
      <c r="F17" s="24">
        <f t="shared" si="1"/>
        <v>2689750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273105</v>
      </c>
      <c r="R17" s="8">
        <v>983961</v>
      </c>
      <c r="S17" s="8">
        <v>0</v>
      </c>
      <c r="T17" s="8">
        <v>0</v>
      </c>
      <c r="U17" s="8">
        <v>0</v>
      </c>
      <c r="V17" s="8">
        <v>0</v>
      </c>
      <c r="W17" s="8">
        <v>147351.36</v>
      </c>
      <c r="X17" s="8">
        <v>-0.71</v>
      </c>
      <c r="Y17" s="8">
        <v>0</v>
      </c>
      <c r="Z17" s="38">
        <f t="shared" si="2"/>
        <v>1404416.65</v>
      </c>
      <c r="AA17" s="7">
        <f t="shared" si="3"/>
        <v>4094166.65</v>
      </c>
    </row>
    <row r="18" spans="1:27" s="11" customFormat="1" ht="21.75">
      <c r="A18" s="10">
        <v>12</v>
      </c>
      <c r="B18" s="9" t="s">
        <v>8</v>
      </c>
      <c r="C18" s="29">
        <v>0</v>
      </c>
      <c r="D18" s="29">
        <v>0</v>
      </c>
      <c r="E18" s="29">
        <v>0</v>
      </c>
      <c r="F18" s="30">
        <v>19945290</v>
      </c>
      <c r="G18" s="8">
        <v>2301690</v>
      </c>
      <c r="H18" s="8">
        <v>0</v>
      </c>
      <c r="I18" s="8">
        <v>-1204506.1500000004</v>
      </c>
      <c r="J18" s="8">
        <v>416501.29000000004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15024000</v>
      </c>
      <c r="R18" s="8">
        <v>51600</v>
      </c>
      <c r="S18" s="8">
        <v>0</v>
      </c>
      <c r="T18" s="8">
        <v>0</v>
      </c>
      <c r="U18" s="8">
        <v>0</v>
      </c>
      <c r="V18" s="8">
        <v>0</v>
      </c>
      <c r="W18" s="8">
        <v>20000</v>
      </c>
      <c r="X18" s="8">
        <v>0</v>
      </c>
      <c r="Y18" s="8">
        <v>0</v>
      </c>
      <c r="Z18" s="38">
        <f t="shared" si="2"/>
        <v>16609285.14</v>
      </c>
      <c r="AA18" s="156">
        <f t="shared" si="3"/>
        <v>36554575.14</v>
      </c>
    </row>
    <row r="19" spans="1:27" ht="21.75">
      <c r="A19" s="4">
        <v>13</v>
      </c>
      <c r="B19" s="9" t="s">
        <v>37</v>
      </c>
      <c r="C19" s="23">
        <f>1600000</f>
        <v>1600000</v>
      </c>
      <c r="D19" s="23">
        <v>1780000</v>
      </c>
      <c r="E19" s="23">
        <v>0</v>
      </c>
      <c r="F19" s="24">
        <f t="shared" si="1"/>
        <v>3380000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45160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38">
        <f t="shared" si="2"/>
        <v>45160</v>
      </c>
      <c r="AA19" s="7">
        <f t="shared" si="3"/>
        <v>3425160</v>
      </c>
    </row>
    <row r="20" spans="1:27" ht="21.75">
      <c r="A20" s="4">
        <v>14</v>
      </c>
      <c r="B20" s="9" t="s">
        <v>9</v>
      </c>
      <c r="C20" s="23">
        <v>0</v>
      </c>
      <c r="D20" s="23">
        <v>0</v>
      </c>
      <c r="E20" s="23">
        <v>0</v>
      </c>
      <c r="F20" s="157">
        <f aca="true" t="shared" si="4" ref="F20:F41">SUM(C20:E20)</f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38">
        <f t="shared" si="2"/>
        <v>0</v>
      </c>
      <c r="AA20" s="7">
        <f t="shared" si="3"/>
        <v>0</v>
      </c>
    </row>
    <row r="21" spans="1:28" ht="21.75">
      <c r="A21" s="4">
        <v>15</v>
      </c>
      <c r="B21" s="5" t="s">
        <v>16</v>
      </c>
      <c r="C21" s="23">
        <v>0</v>
      </c>
      <c r="D21" s="23">
        <v>0</v>
      </c>
      <c r="E21" s="23">
        <v>0</v>
      </c>
      <c r="F21" s="157">
        <f t="shared" si="4"/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38">
        <f t="shared" si="2"/>
        <v>0</v>
      </c>
      <c r="AA21" s="7">
        <f t="shared" si="3"/>
        <v>0</v>
      </c>
      <c r="AB21" s="1" t="s">
        <v>66</v>
      </c>
    </row>
    <row r="22" spans="1:27" ht="21.75">
      <c r="A22" s="4">
        <v>16</v>
      </c>
      <c r="B22" s="9" t="s">
        <v>14</v>
      </c>
      <c r="C22" s="23">
        <v>0</v>
      </c>
      <c r="D22" s="23">
        <v>0</v>
      </c>
      <c r="E22" s="23">
        <v>0</v>
      </c>
      <c r="F22" s="157">
        <f t="shared" si="4"/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29600</v>
      </c>
      <c r="R22" s="8">
        <v>0</v>
      </c>
      <c r="S22" s="8">
        <v>0</v>
      </c>
      <c r="T22" s="8">
        <v>1151200.99</v>
      </c>
      <c r="U22" s="8">
        <v>0</v>
      </c>
      <c r="V22" s="8">
        <v>0</v>
      </c>
      <c r="W22" s="8">
        <v>80999.5</v>
      </c>
      <c r="X22" s="8">
        <v>-29000</v>
      </c>
      <c r="Y22" s="8">
        <v>0</v>
      </c>
      <c r="Z22" s="38">
        <f t="shared" si="2"/>
        <v>1232800.49</v>
      </c>
      <c r="AA22" s="7">
        <f t="shared" si="3"/>
        <v>1232800.49</v>
      </c>
    </row>
    <row r="23" spans="1:27" ht="21.75">
      <c r="A23" s="4">
        <v>17</v>
      </c>
      <c r="B23" s="9" t="s">
        <v>15</v>
      </c>
      <c r="C23" s="23">
        <v>0</v>
      </c>
      <c r="D23" s="23">
        <v>0</v>
      </c>
      <c r="E23" s="23">
        <v>0</v>
      </c>
      <c r="F23" s="157">
        <f t="shared" si="4"/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619446.5</v>
      </c>
      <c r="R23" s="8">
        <v>4500000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142715</v>
      </c>
      <c r="Y23" s="8">
        <v>0</v>
      </c>
      <c r="Z23" s="38">
        <f t="shared" si="2"/>
        <v>5262161.5</v>
      </c>
      <c r="AA23" s="7">
        <f t="shared" si="3"/>
        <v>5262161.5</v>
      </c>
    </row>
    <row r="24" spans="1:27" ht="21.75">
      <c r="A24" s="4">
        <v>18</v>
      </c>
      <c r="B24" s="5" t="s">
        <v>17</v>
      </c>
      <c r="C24" s="23">
        <v>0</v>
      </c>
      <c r="D24" s="23">
        <v>0</v>
      </c>
      <c r="E24" s="23">
        <v>0</v>
      </c>
      <c r="F24" s="157">
        <f t="shared" si="4"/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201000</v>
      </c>
      <c r="R24" s="8">
        <v>29000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38">
        <f t="shared" si="2"/>
        <v>230000</v>
      </c>
      <c r="AA24" s="7">
        <f t="shared" si="3"/>
        <v>230000</v>
      </c>
    </row>
    <row r="25" spans="1:27" ht="21.75">
      <c r="A25" s="4">
        <v>19</v>
      </c>
      <c r="B25" s="9" t="s">
        <v>11</v>
      </c>
      <c r="C25" s="23">
        <v>0</v>
      </c>
      <c r="D25" s="23">
        <v>0</v>
      </c>
      <c r="E25" s="23">
        <v>0</v>
      </c>
      <c r="F25" s="157">
        <f t="shared" si="4"/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507950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38">
        <f t="shared" si="2"/>
        <v>507950</v>
      </c>
      <c r="AA25" s="7">
        <f t="shared" si="3"/>
        <v>507950</v>
      </c>
    </row>
    <row r="26" spans="1:27" ht="21.75">
      <c r="A26" s="4">
        <v>20</v>
      </c>
      <c r="B26" s="9" t="s">
        <v>13</v>
      </c>
      <c r="C26" s="23">
        <v>0</v>
      </c>
      <c r="D26" s="23">
        <v>0</v>
      </c>
      <c r="E26" s="23">
        <v>0</v>
      </c>
      <c r="F26" s="157">
        <f t="shared" si="4"/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58500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38">
        <f t="shared" si="2"/>
        <v>58500</v>
      </c>
      <c r="AA26" s="7">
        <f t="shared" si="3"/>
        <v>58500</v>
      </c>
    </row>
    <row r="27" spans="1:27" ht="21.75">
      <c r="A27" s="4">
        <v>21</v>
      </c>
      <c r="B27" s="9" t="s">
        <v>10</v>
      </c>
      <c r="C27" s="23">
        <v>0</v>
      </c>
      <c r="D27" s="23">
        <v>0</v>
      </c>
      <c r="E27" s="23">
        <v>0</v>
      </c>
      <c r="F27" s="157">
        <f t="shared" si="4"/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451500</v>
      </c>
      <c r="R27" s="8">
        <v>0</v>
      </c>
      <c r="S27" s="8">
        <v>0</v>
      </c>
      <c r="T27" s="8">
        <v>0</v>
      </c>
      <c r="U27" s="8">
        <v>100000</v>
      </c>
      <c r="V27" s="8">
        <v>0</v>
      </c>
      <c r="W27" s="8">
        <v>0</v>
      </c>
      <c r="X27" s="8">
        <v>1098346.57</v>
      </c>
      <c r="Y27" s="8">
        <v>0</v>
      </c>
      <c r="Z27" s="38">
        <f t="shared" si="2"/>
        <v>1649846.57</v>
      </c>
      <c r="AA27" s="7">
        <f t="shared" si="3"/>
        <v>1649846.57</v>
      </c>
    </row>
    <row r="28" spans="1:27" ht="21.75">
      <c r="A28" s="4">
        <v>22</v>
      </c>
      <c r="B28" s="5" t="s">
        <v>12</v>
      </c>
      <c r="C28" s="23">
        <v>0</v>
      </c>
      <c r="D28" s="23">
        <v>0</v>
      </c>
      <c r="E28" s="23">
        <v>0</v>
      </c>
      <c r="F28" s="157">
        <f t="shared" si="4"/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38">
        <f t="shared" si="2"/>
        <v>0</v>
      </c>
      <c r="AA28" s="7">
        <f t="shared" si="3"/>
        <v>0</v>
      </c>
    </row>
    <row r="29" spans="1:28" ht="21.75">
      <c r="A29" s="4">
        <v>23</v>
      </c>
      <c r="B29" s="9" t="s">
        <v>25</v>
      </c>
      <c r="C29" s="23">
        <v>0</v>
      </c>
      <c r="D29" s="23">
        <v>0</v>
      </c>
      <c r="E29" s="23">
        <v>0</v>
      </c>
      <c r="F29" s="157">
        <f t="shared" si="4"/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38">
        <f t="shared" si="2"/>
        <v>0</v>
      </c>
      <c r="AA29" s="7">
        <f t="shared" si="3"/>
        <v>0</v>
      </c>
      <c r="AB29" s="1" t="s">
        <v>99</v>
      </c>
    </row>
    <row r="30" spans="1:28" ht="21.75">
      <c r="A30" s="4">
        <v>24</v>
      </c>
      <c r="B30" s="9" t="s">
        <v>26</v>
      </c>
      <c r="C30" s="23">
        <v>0</v>
      </c>
      <c r="D30" s="23">
        <v>0</v>
      </c>
      <c r="E30" s="23">
        <v>0</v>
      </c>
      <c r="F30" s="157">
        <f t="shared" si="4"/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38">
        <f t="shared" si="2"/>
        <v>0</v>
      </c>
      <c r="AA30" s="7">
        <f t="shared" si="3"/>
        <v>0</v>
      </c>
      <c r="AB30" s="1" t="s">
        <v>99</v>
      </c>
    </row>
    <row r="31" spans="1:27" ht="21.75">
      <c r="A31" s="4">
        <v>25</v>
      </c>
      <c r="B31" s="9" t="s">
        <v>27</v>
      </c>
      <c r="C31" s="23">
        <v>0</v>
      </c>
      <c r="D31" s="23">
        <v>0</v>
      </c>
      <c r="E31" s="23">
        <v>0</v>
      </c>
      <c r="F31" s="157">
        <f t="shared" si="4"/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4671.6</v>
      </c>
      <c r="W31" s="8">
        <v>0</v>
      </c>
      <c r="X31" s="8">
        <v>0</v>
      </c>
      <c r="Y31" s="8">
        <v>0</v>
      </c>
      <c r="Z31" s="38">
        <f t="shared" si="2"/>
        <v>4671.6</v>
      </c>
      <c r="AA31" s="7">
        <f t="shared" si="3"/>
        <v>4671.6</v>
      </c>
    </row>
    <row r="32" spans="1:27" ht="21.75">
      <c r="A32" s="4">
        <v>26</v>
      </c>
      <c r="B32" s="5" t="s">
        <v>28</v>
      </c>
      <c r="C32" s="23">
        <v>0</v>
      </c>
      <c r="D32" s="23">
        <v>0</v>
      </c>
      <c r="E32" s="23">
        <v>0</v>
      </c>
      <c r="F32" s="157">
        <f t="shared" si="4"/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11954144.31</v>
      </c>
      <c r="W32" s="8">
        <v>0</v>
      </c>
      <c r="X32" s="8">
        <v>0</v>
      </c>
      <c r="Y32" s="8">
        <v>0</v>
      </c>
      <c r="Z32" s="38">
        <f t="shared" si="2"/>
        <v>11954144.31</v>
      </c>
      <c r="AA32" s="7">
        <f t="shared" si="3"/>
        <v>11954144.31</v>
      </c>
    </row>
    <row r="33" spans="1:27" ht="21.75">
      <c r="A33" s="4">
        <v>27</v>
      </c>
      <c r="B33" s="9" t="s">
        <v>18</v>
      </c>
      <c r="C33" s="23">
        <v>0</v>
      </c>
      <c r="D33" s="23">
        <v>0</v>
      </c>
      <c r="E33" s="23">
        <v>0</v>
      </c>
      <c r="F33" s="157">
        <f t="shared" si="4"/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2500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18000</v>
      </c>
      <c r="X33" s="8">
        <v>0</v>
      </c>
      <c r="Y33" s="8">
        <v>0</v>
      </c>
      <c r="Z33" s="38">
        <f t="shared" si="2"/>
        <v>20500</v>
      </c>
      <c r="AA33" s="7">
        <f t="shared" si="3"/>
        <v>20500</v>
      </c>
    </row>
    <row r="34" spans="1:27" ht="21.75">
      <c r="A34" s="4">
        <v>28</v>
      </c>
      <c r="B34" s="9" t="s">
        <v>19</v>
      </c>
      <c r="C34" s="23">
        <v>0</v>
      </c>
      <c r="D34" s="23">
        <v>0</v>
      </c>
      <c r="E34" s="23">
        <v>0</v>
      </c>
      <c r="F34" s="157">
        <f t="shared" si="4"/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56000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38">
        <f t="shared" si="2"/>
        <v>56000</v>
      </c>
      <c r="AA34" s="7">
        <f t="shared" si="3"/>
        <v>56000</v>
      </c>
    </row>
    <row r="35" spans="1:27" ht="21.75">
      <c r="A35" s="4">
        <v>29</v>
      </c>
      <c r="B35" s="9" t="s">
        <v>20</v>
      </c>
      <c r="C35" s="23">
        <v>0</v>
      </c>
      <c r="D35" s="23">
        <v>0</v>
      </c>
      <c r="E35" s="23">
        <v>0</v>
      </c>
      <c r="F35" s="157">
        <f t="shared" si="4"/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500000</v>
      </c>
      <c r="X35" s="8">
        <v>1142867.04</v>
      </c>
      <c r="Y35" s="8">
        <v>0</v>
      </c>
      <c r="Z35" s="38">
        <f t="shared" si="2"/>
        <v>1642867.04</v>
      </c>
      <c r="AA35" s="7">
        <f t="shared" si="3"/>
        <v>1642867.04</v>
      </c>
    </row>
    <row r="36" spans="1:27" ht="21.75">
      <c r="A36" s="4">
        <v>30</v>
      </c>
      <c r="B36" s="9" t="s">
        <v>21</v>
      </c>
      <c r="C36" s="23">
        <v>0</v>
      </c>
      <c r="D36" s="23">
        <v>0</v>
      </c>
      <c r="E36" s="23">
        <v>0</v>
      </c>
      <c r="F36" s="157">
        <f t="shared" si="4"/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2000000</v>
      </c>
      <c r="X36" s="8">
        <v>1187766</v>
      </c>
      <c r="Y36" s="8">
        <v>0</v>
      </c>
      <c r="Z36" s="38">
        <f t="shared" si="2"/>
        <v>3187766</v>
      </c>
      <c r="AA36" s="7">
        <f t="shared" si="3"/>
        <v>3187766</v>
      </c>
    </row>
    <row r="37" spans="1:27" ht="21.75">
      <c r="A37" s="4">
        <v>31</v>
      </c>
      <c r="B37" s="9" t="s">
        <v>49</v>
      </c>
      <c r="C37" s="23">
        <v>0</v>
      </c>
      <c r="D37" s="23">
        <v>0</v>
      </c>
      <c r="E37" s="23">
        <v>0</v>
      </c>
      <c r="F37" s="157">
        <f>SUM(C37:E37)</f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4606175.67</v>
      </c>
      <c r="X37" s="8">
        <v>1058056.59</v>
      </c>
      <c r="Y37" s="8">
        <v>0</v>
      </c>
      <c r="Z37" s="38">
        <f t="shared" si="2"/>
        <v>5664232.26</v>
      </c>
      <c r="AA37" s="7">
        <f t="shared" si="3"/>
        <v>5664232.26</v>
      </c>
    </row>
    <row r="38" spans="1:27" ht="21.75">
      <c r="A38" s="4">
        <v>32</v>
      </c>
      <c r="B38" s="9" t="s">
        <v>22</v>
      </c>
      <c r="C38" s="23">
        <v>0</v>
      </c>
      <c r="D38" s="23">
        <v>0</v>
      </c>
      <c r="E38" s="23">
        <v>0</v>
      </c>
      <c r="F38" s="157">
        <f t="shared" si="4"/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834131.03</v>
      </c>
      <c r="U38" s="8">
        <v>0</v>
      </c>
      <c r="V38" s="8">
        <v>0</v>
      </c>
      <c r="W38" s="8">
        <v>406530</v>
      </c>
      <c r="X38" s="8">
        <v>237363</v>
      </c>
      <c r="Y38" s="8">
        <v>0</v>
      </c>
      <c r="Z38" s="38">
        <f t="shared" si="2"/>
        <v>1478024.03</v>
      </c>
      <c r="AA38" s="7">
        <f t="shared" si="3"/>
        <v>1478024.03</v>
      </c>
    </row>
    <row r="39" spans="1:27" ht="21.75">
      <c r="A39" s="4">
        <v>33</v>
      </c>
      <c r="B39" s="9" t="s">
        <v>23</v>
      </c>
      <c r="C39" s="23">
        <v>0</v>
      </c>
      <c r="D39" s="23">
        <v>0</v>
      </c>
      <c r="E39" s="23">
        <v>0</v>
      </c>
      <c r="F39" s="157">
        <f t="shared" si="4"/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7884699.130000001</v>
      </c>
      <c r="U39" s="8">
        <v>0</v>
      </c>
      <c r="V39" s="8">
        <v>0</v>
      </c>
      <c r="W39" s="8">
        <v>52000</v>
      </c>
      <c r="X39" s="8">
        <v>0</v>
      </c>
      <c r="Y39" s="8">
        <v>0</v>
      </c>
      <c r="Z39" s="38">
        <f t="shared" si="2"/>
        <v>7936699.130000001</v>
      </c>
      <c r="AA39" s="7">
        <f t="shared" si="3"/>
        <v>7936699.130000001</v>
      </c>
    </row>
    <row r="40" spans="1:27" ht="21.75">
      <c r="A40" s="4">
        <v>34</v>
      </c>
      <c r="B40" s="9" t="s">
        <v>24</v>
      </c>
      <c r="C40" s="23">
        <v>0</v>
      </c>
      <c r="D40" s="23">
        <v>0</v>
      </c>
      <c r="E40" s="23">
        <v>0</v>
      </c>
      <c r="F40" s="157">
        <f t="shared" si="4"/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919976.18</v>
      </c>
      <c r="U40" s="8">
        <v>0</v>
      </c>
      <c r="V40" s="8">
        <v>0</v>
      </c>
      <c r="W40" s="8">
        <v>7471.25</v>
      </c>
      <c r="X40" s="8">
        <v>728000</v>
      </c>
      <c r="Y40" s="8">
        <v>0</v>
      </c>
      <c r="Z40" s="38">
        <f t="shared" si="2"/>
        <v>1655447.4300000002</v>
      </c>
      <c r="AA40" s="7">
        <f t="shared" si="3"/>
        <v>1655447.4300000002</v>
      </c>
    </row>
    <row r="41" spans="1:27" ht="21.75">
      <c r="A41" s="4">
        <v>35</v>
      </c>
      <c r="B41" s="12" t="s">
        <v>50</v>
      </c>
      <c r="C41" s="23">
        <v>0</v>
      </c>
      <c r="D41" s="23">
        <v>0</v>
      </c>
      <c r="E41" s="23">
        <v>0</v>
      </c>
      <c r="F41" s="157">
        <f t="shared" si="4"/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38">
        <f t="shared" si="2"/>
        <v>0</v>
      </c>
      <c r="AA41" s="7">
        <f t="shared" si="3"/>
        <v>0</v>
      </c>
    </row>
    <row r="42" spans="1:27" ht="21.75">
      <c r="A42" s="4">
        <v>36</v>
      </c>
      <c r="B42" s="12" t="s">
        <v>63</v>
      </c>
      <c r="C42" s="23">
        <v>0</v>
      </c>
      <c r="D42" s="23">
        <v>0</v>
      </c>
      <c r="E42" s="23">
        <v>0</v>
      </c>
      <c r="F42" s="157">
        <f>SUM(C42:E42)</f>
        <v>0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>
        <v>7953960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38">
        <f t="shared" si="2"/>
        <v>7953960</v>
      </c>
      <c r="AA42" s="7">
        <f t="shared" si="3"/>
        <v>7953960</v>
      </c>
    </row>
    <row r="43" spans="1:27" ht="21.75">
      <c r="A43" s="4" t="s">
        <v>47</v>
      </c>
      <c r="B43" s="12" t="s">
        <v>43</v>
      </c>
      <c r="C43" s="23">
        <v>0</v>
      </c>
      <c r="D43" s="23">
        <v>0</v>
      </c>
      <c r="E43" s="23">
        <v>0</v>
      </c>
      <c r="F43" s="157">
        <f>SUM(C43:E43)</f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/>
      <c r="R43" s="8">
        <v>0</v>
      </c>
      <c r="S43" s="8">
        <v>483631.19999999995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38">
        <f t="shared" si="2"/>
        <v>483631.19999999995</v>
      </c>
      <c r="AA43" s="7">
        <f t="shared" si="3"/>
        <v>483631.19999999995</v>
      </c>
    </row>
    <row r="44" spans="1:27" s="11" customFormat="1" ht="24">
      <c r="A44" s="10" t="s">
        <v>40</v>
      </c>
      <c r="B44" s="12" t="s">
        <v>39</v>
      </c>
      <c r="C44" s="142"/>
      <c r="D44" s="143">
        <f>SUM(F55)</f>
        <v>64400</v>
      </c>
      <c r="E44" s="144"/>
      <c r="F44" s="158">
        <f>SUM(C44:E44)</f>
        <v>64400</v>
      </c>
      <c r="G44" s="8">
        <v>7273490</v>
      </c>
      <c r="H44" s="8">
        <v>6297000</v>
      </c>
      <c r="I44" s="8">
        <v>39470513.21999999</v>
      </c>
      <c r="J44" s="8">
        <v>24300944.910000004</v>
      </c>
      <c r="K44" s="8">
        <v>1619976.65</v>
      </c>
      <c r="L44" s="8">
        <v>5808050</v>
      </c>
      <c r="M44" s="8">
        <v>9329050</v>
      </c>
      <c r="N44" s="8">
        <f>12543952.85-Y45</f>
        <v>9389952.85</v>
      </c>
      <c r="O44" s="8">
        <v>1831698</v>
      </c>
      <c r="P44" s="8">
        <v>369992.8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/>
      <c r="Z44" s="38">
        <f t="shared" si="2"/>
        <v>105690668.42999999</v>
      </c>
      <c r="AA44" s="7">
        <f t="shared" si="3"/>
        <v>105755068.42999999</v>
      </c>
    </row>
    <row r="45" spans="3:27" s="11" customFormat="1" ht="22.5" thickBot="1">
      <c r="C45" s="26"/>
      <c r="D45" s="26"/>
      <c r="E45" s="26"/>
      <c r="F45" s="27">
        <f>SUM(F7:F44)</f>
        <v>344798515</v>
      </c>
      <c r="G45" s="13">
        <f aca="true" t="shared" si="5" ref="G45:AA45">SUM(G7:G44)</f>
        <v>9575180</v>
      </c>
      <c r="H45" s="13">
        <f t="shared" si="5"/>
        <v>6297000</v>
      </c>
      <c r="I45" s="13">
        <f t="shared" si="5"/>
        <v>38266007.06999999</v>
      </c>
      <c r="J45" s="13">
        <f t="shared" si="5"/>
        <v>24717446.200000003</v>
      </c>
      <c r="K45" s="13">
        <f t="shared" si="5"/>
        <v>1619976.65</v>
      </c>
      <c r="L45" s="13">
        <f t="shared" si="5"/>
        <v>5808050</v>
      </c>
      <c r="M45" s="13">
        <f t="shared" si="5"/>
        <v>9329050</v>
      </c>
      <c r="N45" s="13">
        <f t="shared" si="5"/>
        <v>9389952.85</v>
      </c>
      <c r="O45" s="13">
        <f t="shared" si="5"/>
        <v>1831698</v>
      </c>
      <c r="P45" s="13">
        <f t="shared" si="5"/>
        <v>369992.8</v>
      </c>
      <c r="Q45" s="13">
        <f>SUM(Q7:Q44)</f>
        <v>34487398.5</v>
      </c>
      <c r="R45" s="13">
        <f aca="true" t="shared" si="6" ref="R45:Y45">SUM(R7:R44)</f>
        <v>15027961.44</v>
      </c>
      <c r="S45" s="13">
        <f t="shared" si="6"/>
        <v>656346.2</v>
      </c>
      <c r="T45" s="13">
        <f t="shared" si="6"/>
        <v>13678887.41</v>
      </c>
      <c r="U45" s="13">
        <f t="shared" si="6"/>
        <v>100000</v>
      </c>
      <c r="V45" s="13">
        <f t="shared" si="6"/>
        <v>11958815.91</v>
      </c>
      <c r="W45" s="13">
        <f t="shared" si="6"/>
        <v>8017527.779999999</v>
      </c>
      <c r="X45" s="13">
        <f t="shared" si="6"/>
        <v>36918253.49</v>
      </c>
      <c r="Y45" s="13">
        <f t="shared" si="6"/>
        <v>3154000</v>
      </c>
      <c r="Z45" s="13">
        <f>SUM(Z7:Z44)</f>
        <v>231203544.3</v>
      </c>
      <c r="AA45" s="13">
        <f t="shared" si="5"/>
        <v>576002059.3</v>
      </c>
    </row>
    <row r="46" spans="3:27" ht="22.5" thickTop="1">
      <c r="C46" s="26"/>
      <c r="D46" s="26"/>
      <c r="E46" s="26"/>
      <c r="F46" s="14"/>
      <c r="AA46" s="14"/>
    </row>
    <row r="47" spans="1:27" s="36" customFormat="1" ht="24">
      <c r="A47" s="33"/>
      <c r="B47" s="34"/>
      <c r="C47" s="35"/>
      <c r="D47" s="149"/>
      <c r="E47" s="150"/>
      <c r="F47" s="159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1:27" s="36" customFormat="1" ht="21">
      <c r="A48" s="22"/>
      <c r="B48" s="37"/>
      <c r="C48" s="16"/>
      <c r="D48" s="16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</row>
    <row r="49" spans="3:27" s="16" customFormat="1" ht="21">
      <c r="C49" s="152"/>
      <c r="D49" s="152"/>
      <c r="E49" s="152"/>
      <c r="F49" s="153"/>
      <c r="Z49" s="35"/>
      <c r="AA49" s="153"/>
    </row>
    <row r="50" ht="18.75">
      <c r="F50" s="14"/>
    </row>
    <row r="51" ht="18.75">
      <c r="F51" s="15"/>
    </row>
    <row r="52" ht="18.75">
      <c r="F52" s="14"/>
    </row>
    <row r="53" spans="4:27" ht="18.75">
      <c r="D53" s="1" t="s">
        <v>86</v>
      </c>
      <c r="F53" s="14">
        <v>344798515</v>
      </c>
      <c r="AA53" s="14"/>
    </row>
    <row r="54" spans="6:27" ht="18.75">
      <c r="F54" s="14">
        <f>SUM(F7:F43)</f>
        <v>344734115</v>
      </c>
      <c r="AA54" s="14"/>
    </row>
    <row r="55" ht="18.75">
      <c r="F55" s="14">
        <f>SUM(F53-F54)</f>
        <v>64400</v>
      </c>
    </row>
    <row r="56" ht="18.75">
      <c r="F56" s="14">
        <f>SUM(F45-F53)</f>
        <v>0</v>
      </c>
    </row>
    <row r="57" ht="18.75">
      <c r="F57" s="14"/>
    </row>
  </sheetData>
  <sheetProtection/>
  <mergeCells count="8">
    <mergeCell ref="A1:AA1"/>
    <mergeCell ref="A2:AA2"/>
    <mergeCell ref="A3:AA3"/>
    <mergeCell ref="A5:A6"/>
    <mergeCell ref="B5:B6"/>
    <mergeCell ref="C5:F5"/>
    <mergeCell ref="G5:Z5"/>
    <mergeCell ref="AA5:AA6"/>
  </mergeCells>
  <printOptions/>
  <pageMargins left="0.17" right="0.17" top="0.75" bottom="0.75" header="0.3" footer="0.3"/>
  <pageSetup horizontalDpi="600" verticalDpi="600" orientation="landscape" paperSize="9" scale="3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Z56"/>
  <sheetViews>
    <sheetView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Z3"/>
    </sheetView>
  </sheetViews>
  <sheetFormatPr defaultColWidth="9.140625" defaultRowHeight="15"/>
  <cols>
    <col min="1" max="1" width="2.8515625" style="1" bestFit="1" customWidth="1"/>
    <col min="2" max="2" width="32.8515625" style="1" customWidth="1"/>
    <col min="3" max="4" width="12.7109375" style="1" customWidth="1"/>
    <col min="5" max="5" width="10.8515625" style="1" bestFit="1" customWidth="1"/>
    <col min="6" max="6" width="13.28125" style="3" customWidth="1"/>
    <col min="7" max="24" width="13.28125" style="1" customWidth="1"/>
    <col min="25" max="26" width="13.28125" style="3" customWidth="1"/>
    <col min="27" max="16384" width="9.00390625" style="1" customWidth="1"/>
  </cols>
  <sheetData>
    <row r="1" spans="1:26" ht="24">
      <c r="A1" s="215" t="s">
        <v>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26" ht="24">
      <c r="A2" s="215" t="s">
        <v>105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ht="24">
      <c r="A3" s="216" t="s">
        <v>55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12" ht="21.75">
      <c r="A4" s="3"/>
      <c r="H4" s="129"/>
      <c r="L4" s="130"/>
    </row>
    <row r="5" spans="1:26" ht="22.5" customHeight="1">
      <c r="A5" s="217" t="s">
        <v>38</v>
      </c>
      <c r="B5" s="217" t="s">
        <v>45</v>
      </c>
      <c r="C5" s="227" t="s">
        <v>57</v>
      </c>
      <c r="D5" s="228"/>
      <c r="E5" s="228"/>
      <c r="F5" s="229"/>
      <c r="G5" s="230" t="s">
        <v>56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25" t="s">
        <v>71</v>
      </c>
    </row>
    <row r="6" spans="1:26" ht="108.75">
      <c r="A6" s="218"/>
      <c r="B6" s="218"/>
      <c r="C6" s="131" t="s">
        <v>100</v>
      </c>
      <c r="D6" s="131" t="s">
        <v>101</v>
      </c>
      <c r="E6" s="131" t="s">
        <v>102</v>
      </c>
      <c r="F6" s="154" t="s">
        <v>90</v>
      </c>
      <c r="G6" s="133" t="s">
        <v>75</v>
      </c>
      <c r="H6" s="133" t="s">
        <v>76</v>
      </c>
      <c r="I6" s="133" t="s">
        <v>77</v>
      </c>
      <c r="J6" s="133" t="s">
        <v>78</v>
      </c>
      <c r="K6" s="133" t="s">
        <v>41</v>
      </c>
      <c r="L6" s="133" t="s">
        <v>79</v>
      </c>
      <c r="M6" s="133" t="s">
        <v>80</v>
      </c>
      <c r="N6" s="133" t="s">
        <v>81</v>
      </c>
      <c r="O6" s="131" t="s">
        <v>82</v>
      </c>
      <c r="P6" s="131" t="s">
        <v>83</v>
      </c>
      <c r="Q6" s="134" t="s">
        <v>29</v>
      </c>
      <c r="R6" s="135" t="s">
        <v>31</v>
      </c>
      <c r="S6" s="135" t="s">
        <v>30</v>
      </c>
      <c r="T6" s="135" t="s">
        <v>32</v>
      </c>
      <c r="U6" s="135" t="s">
        <v>33</v>
      </c>
      <c r="V6" s="135" t="s">
        <v>34</v>
      </c>
      <c r="W6" s="17" t="s">
        <v>41</v>
      </c>
      <c r="X6" s="17" t="s">
        <v>46</v>
      </c>
      <c r="Y6" s="155" t="s">
        <v>84</v>
      </c>
      <c r="Z6" s="226"/>
    </row>
    <row r="7" spans="1:26" ht="21.75">
      <c r="A7" s="4">
        <v>1</v>
      </c>
      <c r="B7" s="5" t="s">
        <v>6</v>
      </c>
      <c r="C7" s="23">
        <v>4084950</v>
      </c>
      <c r="D7" s="23">
        <f>3675750+69000+73200</f>
        <v>3817950</v>
      </c>
      <c r="E7" s="23">
        <v>79750</v>
      </c>
      <c r="F7" s="157">
        <f>SUM(C7:E7)</f>
        <v>7982650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93000</v>
      </c>
      <c r="R7" s="8">
        <v>204080</v>
      </c>
      <c r="S7" s="8">
        <v>0</v>
      </c>
      <c r="T7" s="8">
        <v>3424452.47</v>
      </c>
      <c r="U7" s="8">
        <v>28597.07</v>
      </c>
      <c r="V7" s="8">
        <v>0</v>
      </c>
      <c r="W7" s="8">
        <v>66500</v>
      </c>
      <c r="X7" s="8">
        <f>3491500</f>
        <v>3491500</v>
      </c>
      <c r="Y7" s="38">
        <f>SUM(G7:X7)</f>
        <v>7308129.54</v>
      </c>
      <c r="Z7" s="7">
        <f aca="true" t="shared" si="0" ref="Z7:Z14">SUM(F7+Y7)</f>
        <v>15290779.54</v>
      </c>
    </row>
    <row r="8" spans="1:26" ht="21.75">
      <c r="A8" s="4">
        <v>2</v>
      </c>
      <c r="B8" s="5" t="s">
        <v>1</v>
      </c>
      <c r="C8" s="23">
        <v>22462000</v>
      </c>
      <c r="D8" s="23">
        <v>20824000</v>
      </c>
      <c r="E8" s="23">
        <f>399625+753250+822875</f>
        <v>1975750</v>
      </c>
      <c r="F8" s="157">
        <f aca="true" t="shared" si="1" ref="F8:F41">SUM(C8:E8)</f>
        <v>45261750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1083500</v>
      </c>
      <c r="R8" s="8">
        <v>900359</v>
      </c>
      <c r="S8" s="8">
        <v>9300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38">
        <f aca="true" t="shared" si="2" ref="Y8:Y43">SUM(G8:X8)</f>
        <v>1993159</v>
      </c>
      <c r="Z8" s="7">
        <f t="shared" si="0"/>
        <v>47254909</v>
      </c>
    </row>
    <row r="9" spans="1:26" ht="21.75">
      <c r="A9" s="4">
        <v>3</v>
      </c>
      <c r="B9" s="9" t="s">
        <v>3</v>
      </c>
      <c r="C9" s="23">
        <v>27902500</v>
      </c>
      <c r="D9" s="23">
        <f>26615250+450000+69000+50000</f>
        <v>27184250</v>
      </c>
      <c r="E9" s="23">
        <v>273500</v>
      </c>
      <c r="F9" s="157">
        <f t="shared" si="1"/>
        <v>55360250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1474806.65</v>
      </c>
      <c r="R9" s="8">
        <v>1701317.58</v>
      </c>
      <c r="S9" s="8">
        <v>201024</v>
      </c>
      <c r="T9" s="8">
        <v>0</v>
      </c>
      <c r="U9" s="8">
        <v>549862.34</v>
      </c>
      <c r="V9" s="8">
        <v>0</v>
      </c>
      <c r="W9" s="8">
        <v>285749.25</v>
      </c>
      <c r="X9" s="8">
        <f>86444.62</f>
        <v>86444.62</v>
      </c>
      <c r="Y9" s="38">
        <f t="shared" si="2"/>
        <v>4299204.44</v>
      </c>
      <c r="Z9" s="7">
        <f t="shared" si="0"/>
        <v>59659454.44</v>
      </c>
    </row>
    <row r="10" spans="1:26" ht="21.75">
      <c r="A10" s="4">
        <v>4</v>
      </c>
      <c r="B10" s="5" t="s">
        <v>5</v>
      </c>
      <c r="C10" s="23">
        <v>13383000</v>
      </c>
      <c r="D10" s="23">
        <f>12382500+493000</f>
        <v>12875500</v>
      </c>
      <c r="E10" s="23">
        <f>165000+187500</f>
        <v>352500</v>
      </c>
      <c r="F10" s="157">
        <f t="shared" si="1"/>
        <v>26611000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242525</v>
      </c>
      <c r="R10" s="8">
        <v>447560</v>
      </c>
      <c r="S10" s="8">
        <v>90</v>
      </c>
      <c r="T10" s="8">
        <v>0</v>
      </c>
      <c r="U10" s="8">
        <v>20083.93</v>
      </c>
      <c r="V10" s="8">
        <v>0</v>
      </c>
      <c r="W10" s="8">
        <v>0</v>
      </c>
      <c r="X10" s="8">
        <f>15000</f>
        <v>15000</v>
      </c>
      <c r="Y10" s="38">
        <f t="shared" si="2"/>
        <v>725258.93</v>
      </c>
      <c r="Z10" s="7">
        <f t="shared" si="0"/>
        <v>27336258.93</v>
      </c>
    </row>
    <row r="11" spans="1:26" ht="21.75">
      <c r="A11" s="4">
        <v>5</v>
      </c>
      <c r="B11" s="5" t="s">
        <v>7</v>
      </c>
      <c r="C11" s="23">
        <v>13790000</v>
      </c>
      <c r="D11" s="23">
        <f>11345250+437500+222000+82500+195000+262500</f>
        <v>12544750</v>
      </c>
      <c r="E11" s="23">
        <f>537500+12500+10000+36000+50000</f>
        <v>646000</v>
      </c>
      <c r="F11" s="157">
        <f t="shared" si="1"/>
        <v>26980750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6456620</v>
      </c>
      <c r="R11" s="8">
        <v>2111833</v>
      </c>
      <c r="S11" s="8">
        <v>30336</v>
      </c>
      <c r="T11" s="8">
        <v>0</v>
      </c>
      <c r="U11" s="8">
        <v>121058.08</v>
      </c>
      <c r="V11" s="8">
        <v>0</v>
      </c>
      <c r="W11" s="8">
        <v>0</v>
      </c>
      <c r="X11" s="8">
        <f>2682401.25+13854208</f>
        <v>16536609.25</v>
      </c>
      <c r="Y11" s="38">
        <f t="shared" si="2"/>
        <v>25256456.33</v>
      </c>
      <c r="Z11" s="7">
        <f t="shared" si="0"/>
        <v>52237206.33</v>
      </c>
    </row>
    <row r="12" spans="1:26" ht="21.75">
      <c r="A12" s="4">
        <v>6</v>
      </c>
      <c r="B12" s="5" t="s">
        <v>35</v>
      </c>
      <c r="C12" s="23">
        <v>1395250</v>
      </c>
      <c r="D12" s="23">
        <f>1134000+125000+87500</f>
        <v>1346500</v>
      </c>
      <c r="E12" s="23">
        <v>45000</v>
      </c>
      <c r="F12" s="157">
        <f t="shared" si="1"/>
        <v>2786750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2485804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90000</v>
      </c>
      <c r="X12" s="8">
        <f>722316</f>
        <v>722316</v>
      </c>
      <c r="Y12" s="38">
        <f t="shared" si="2"/>
        <v>3298120</v>
      </c>
      <c r="Z12" s="7">
        <f t="shared" si="0"/>
        <v>6084870</v>
      </c>
    </row>
    <row r="13" spans="1:26" ht="21.75">
      <c r="A13" s="4">
        <v>7</v>
      </c>
      <c r="B13" s="9" t="s">
        <v>2</v>
      </c>
      <c r="C13" s="23">
        <v>6276500</v>
      </c>
      <c r="D13" s="23">
        <v>5874000</v>
      </c>
      <c r="E13" s="23">
        <v>132000</v>
      </c>
      <c r="F13" s="157">
        <f t="shared" si="1"/>
        <v>12282500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123550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f>100000</f>
        <v>100000</v>
      </c>
      <c r="Y13" s="38">
        <f t="shared" si="2"/>
        <v>223550</v>
      </c>
      <c r="Z13" s="7">
        <f t="shared" si="0"/>
        <v>12506050</v>
      </c>
    </row>
    <row r="14" spans="1:26" ht="21.75">
      <c r="A14" s="4">
        <v>8</v>
      </c>
      <c r="B14" s="5" t="s">
        <v>0</v>
      </c>
      <c r="C14" s="23">
        <v>33886300</v>
      </c>
      <c r="D14" s="23">
        <f>1580000+24713000+950000+1530000+3707000</f>
        <v>32480000</v>
      </c>
      <c r="E14" s="23">
        <f>550750+19500+1002500</f>
        <v>1572750</v>
      </c>
      <c r="F14" s="157">
        <f t="shared" si="1"/>
        <v>67939050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3086942.64</v>
      </c>
      <c r="R14" s="8">
        <v>715000</v>
      </c>
      <c r="S14" s="8">
        <v>8640</v>
      </c>
      <c r="T14" s="8">
        <v>0</v>
      </c>
      <c r="U14" s="8">
        <v>0</v>
      </c>
      <c r="V14" s="8">
        <v>0</v>
      </c>
      <c r="W14" s="8">
        <v>0</v>
      </c>
      <c r="X14" s="8">
        <f>4100000+5175000</f>
        <v>9275000</v>
      </c>
      <c r="Y14" s="38">
        <f t="shared" si="2"/>
        <v>13085582.64</v>
      </c>
      <c r="Z14" s="7">
        <f t="shared" si="0"/>
        <v>81024632.64</v>
      </c>
    </row>
    <row r="15" spans="1:26" ht="21.75">
      <c r="A15" s="4">
        <v>9</v>
      </c>
      <c r="B15" s="9" t="s">
        <v>4</v>
      </c>
      <c r="C15" s="23">
        <v>31496250</v>
      </c>
      <c r="D15" s="23">
        <f>22315500+6294750+120000+619000</f>
        <v>29349250</v>
      </c>
      <c r="E15" s="23">
        <f>2024500+2327250+60000+225000</f>
        <v>4636750</v>
      </c>
      <c r="F15" s="157">
        <f t="shared" si="1"/>
        <v>65482250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8800</v>
      </c>
      <c r="R15" s="8">
        <v>3966250</v>
      </c>
      <c r="S15" s="8">
        <v>21725</v>
      </c>
      <c r="T15" s="8">
        <v>0</v>
      </c>
      <c r="U15" s="8">
        <v>0</v>
      </c>
      <c r="V15" s="8">
        <v>0</v>
      </c>
      <c r="W15" s="8">
        <v>0</v>
      </c>
      <c r="X15" s="8">
        <f>20600</f>
        <v>20600</v>
      </c>
      <c r="Y15" s="38">
        <f t="shared" si="2"/>
        <v>4017375</v>
      </c>
      <c r="Z15" s="7">
        <f aca="true" t="shared" si="3" ref="Z15:Z43">SUM(F15+Y15)</f>
        <v>69499625</v>
      </c>
    </row>
    <row r="16" spans="1:26" ht="21.75">
      <c r="A16" s="4">
        <v>10</v>
      </c>
      <c r="B16" s="9" t="s">
        <v>36</v>
      </c>
      <c r="C16" s="23">
        <v>1606250</v>
      </c>
      <c r="D16" s="23">
        <v>1560000</v>
      </c>
      <c r="E16" s="23">
        <v>767000</v>
      </c>
      <c r="F16" s="157">
        <f t="shared" si="1"/>
        <v>3933250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10000</v>
      </c>
      <c r="X16" s="8">
        <v>0</v>
      </c>
      <c r="Y16" s="38">
        <f t="shared" si="2"/>
        <v>10000</v>
      </c>
      <c r="Z16" s="7">
        <f t="shared" si="3"/>
        <v>3943250</v>
      </c>
    </row>
    <row r="17" spans="1:26" ht="21.75">
      <c r="A17" s="4">
        <v>11</v>
      </c>
      <c r="B17" s="12" t="s">
        <v>54</v>
      </c>
      <c r="C17" s="23">
        <v>1504750</v>
      </c>
      <c r="D17" s="23">
        <v>1457250</v>
      </c>
      <c r="E17" s="23">
        <v>123250</v>
      </c>
      <c r="F17" s="157">
        <f t="shared" si="1"/>
        <v>3085250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65600</v>
      </c>
      <c r="R17" s="8">
        <v>377400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f>29585.71</f>
        <v>29585.71</v>
      </c>
      <c r="Y17" s="38">
        <f t="shared" si="2"/>
        <v>472585.71</v>
      </c>
      <c r="Z17" s="7">
        <f t="shared" si="3"/>
        <v>3557835.71</v>
      </c>
    </row>
    <row r="18" spans="1:26" s="11" customFormat="1" ht="21.75">
      <c r="A18" s="4">
        <v>12</v>
      </c>
      <c r="B18" s="9" t="s">
        <v>8</v>
      </c>
      <c r="C18" s="23">
        <v>3245750</v>
      </c>
      <c r="D18" s="23">
        <f>1612000+578000</f>
        <v>2190000</v>
      </c>
      <c r="E18" s="23">
        <f>768500+273000</f>
        <v>1041500</v>
      </c>
      <c r="F18" s="157">
        <f t="shared" si="1"/>
        <v>6477250</v>
      </c>
      <c r="G18" s="25">
        <v>225340</v>
      </c>
      <c r="H18" s="25">
        <v>38000</v>
      </c>
      <c r="I18" s="25">
        <v>1635335.37</v>
      </c>
      <c r="J18" s="25">
        <v>186282.43</v>
      </c>
      <c r="K18" s="25">
        <v>0</v>
      </c>
      <c r="L18" s="25">
        <v>0</v>
      </c>
      <c r="M18" s="25">
        <v>0</v>
      </c>
      <c r="N18" s="25">
        <v>0</v>
      </c>
      <c r="O18" s="8">
        <v>0</v>
      </c>
      <c r="P18" s="8">
        <v>0</v>
      </c>
      <c r="Q18" s="8">
        <v>4654300</v>
      </c>
      <c r="R18" s="8">
        <v>270000</v>
      </c>
      <c r="S18" s="8">
        <v>0</v>
      </c>
      <c r="T18" s="8">
        <v>0</v>
      </c>
      <c r="U18" s="8">
        <v>0</v>
      </c>
      <c r="V18" s="8">
        <v>0</v>
      </c>
      <c r="W18" s="8">
        <v>10000</v>
      </c>
      <c r="X18" s="8">
        <f>10000</f>
        <v>10000</v>
      </c>
      <c r="Y18" s="38">
        <f>SUM(G18:X18)</f>
        <v>7029257.8</v>
      </c>
      <c r="Z18" s="7">
        <f t="shared" si="3"/>
        <v>13506507.8</v>
      </c>
    </row>
    <row r="19" spans="1:26" ht="21.75">
      <c r="A19" s="4">
        <v>13</v>
      </c>
      <c r="B19" s="9" t="s">
        <v>37</v>
      </c>
      <c r="C19" s="23">
        <v>895750</v>
      </c>
      <c r="D19" s="23">
        <v>940000</v>
      </c>
      <c r="E19" s="23">
        <v>0</v>
      </c>
      <c r="F19" s="157">
        <f t="shared" si="1"/>
        <v>1835750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114240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38">
        <f t="shared" si="2"/>
        <v>114240</v>
      </c>
      <c r="Z19" s="7">
        <f t="shared" si="3"/>
        <v>1949990</v>
      </c>
    </row>
    <row r="20" spans="1:26" ht="21.75">
      <c r="A20" s="4">
        <v>14</v>
      </c>
      <c r="B20" s="9" t="s">
        <v>9</v>
      </c>
      <c r="C20" s="23">
        <v>0</v>
      </c>
      <c r="D20" s="23">
        <v>0</v>
      </c>
      <c r="E20" s="23">
        <v>0</v>
      </c>
      <c r="F20" s="157">
        <f t="shared" si="1"/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484400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38">
        <f t="shared" si="2"/>
        <v>484400</v>
      </c>
      <c r="Z20" s="7">
        <f t="shared" si="3"/>
        <v>484400</v>
      </c>
    </row>
    <row r="21" spans="1:26" ht="21.75">
      <c r="A21" s="4">
        <v>15</v>
      </c>
      <c r="B21" s="5" t="s">
        <v>16</v>
      </c>
      <c r="C21" s="8">
        <v>0</v>
      </c>
      <c r="D21" s="8">
        <v>0</v>
      </c>
      <c r="E21" s="8">
        <v>0</v>
      </c>
      <c r="F21" s="157">
        <f t="shared" si="1"/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1795520.55</v>
      </c>
      <c r="R21" s="8">
        <v>0</v>
      </c>
      <c r="S21" s="8">
        <v>0</v>
      </c>
      <c r="T21" s="8">
        <v>0</v>
      </c>
      <c r="U21" s="8">
        <v>837.37</v>
      </c>
      <c r="V21" s="8">
        <v>0</v>
      </c>
      <c r="W21" s="8">
        <v>0</v>
      </c>
      <c r="X21" s="8">
        <v>0</v>
      </c>
      <c r="Y21" s="38">
        <f t="shared" si="2"/>
        <v>1796357.9200000002</v>
      </c>
      <c r="Z21" s="7">
        <f t="shared" si="3"/>
        <v>1796357.9200000002</v>
      </c>
    </row>
    <row r="22" spans="1:26" ht="21.75">
      <c r="A22" s="4">
        <v>16</v>
      </c>
      <c r="B22" s="9" t="s">
        <v>14</v>
      </c>
      <c r="C22" s="8">
        <v>0</v>
      </c>
      <c r="D22" s="8">
        <v>0</v>
      </c>
      <c r="E22" s="8">
        <v>0</v>
      </c>
      <c r="F22" s="157">
        <f t="shared" si="1"/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1131161.98</v>
      </c>
      <c r="U22" s="8">
        <v>0</v>
      </c>
      <c r="V22" s="8">
        <v>0</v>
      </c>
      <c r="W22" s="8">
        <v>77986.75</v>
      </c>
      <c r="X22" s="8">
        <f>14000</f>
        <v>14000</v>
      </c>
      <c r="Y22" s="38">
        <f t="shared" si="2"/>
        <v>1223148.73</v>
      </c>
      <c r="Z22" s="7">
        <f t="shared" si="3"/>
        <v>1223148.73</v>
      </c>
    </row>
    <row r="23" spans="1:26" ht="21.75">
      <c r="A23" s="4">
        <v>17</v>
      </c>
      <c r="B23" s="9" t="s">
        <v>15</v>
      </c>
      <c r="C23" s="8">
        <v>0</v>
      </c>
      <c r="D23" s="8">
        <v>0</v>
      </c>
      <c r="E23" s="8">
        <v>0</v>
      </c>
      <c r="F23" s="157">
        <f t="shared" si="1"/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771418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f>614749.69</f>
        <v>614749.69</v>
      </c>
      <c r="Y23" s="38">
        <f t="shared" si="2"/>
        <v>1386167.69</v>
      </c>
      <c r="Z23" s="7">
        <f t="shared" si="3"/>
        <v>1386167.69</v>
      </c>
    </row>
    <row r="24" spans="1:26" ht="21.75">
      <c r="A24" s="4">
        <v>18</v>
      </c>
      <c r="B24" s="5" t="s">
        <v>17</v>
      </c>
      <c r="C24" s="8">
        <v>0</v>
      </c>
      <c r="D24" s="8">
        <v>0</v>
      </c>
      <c r="E24" s="8">
        <v>0</v>
      </c>
      <c r="F24" s="157">
        <f t="shared" si="1"/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38">
        <f t="shared" si="2"/>
        <v>0</v>
      </c>
      <c r="Z24" s="7">
        <f t="shared" si="3"/>
        <v>0</v>
      </c>
    </row>
    <row r="25" spans="1:26" ht="21.75">
      <c r="A25" s="4">
        <v>19</v>
      </c>
      <c r="B25" s="9" t="s">
        <v>11</v>
      </c>
      <c r="C25" s="8">
        <v>0</v>
      </c>
      <c r="D25" s="8">
        <v>0</v>
      </c>
      <c r="E25" s="8">
        <v>0</v>
      </c>
      <c r="F25" s="157">
        <f t="shared" si="1"/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52900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38">
        <f t="shared" si="2"/>
        <v>52900</v>
      </c>
      <c r="Z25" s="7">
        <f t="shared" si="3"/>
        <v>52900</v>
      </c>
    </row>
    <row r="26" spans="1:26" ht="21.75">
      <c r="A26" s="4">
        <v>20</v>
      </c>
      <c r="B26" s="9" t="s">
        <v>13</v>
      </c>
      <c r="C26" s="8">
        <v>0</v>
      </c>
      <c r="D26" s="8">
        <v>0</v>
      </c>
      <c r="E26" s="8">
        <v>0</v>
      </c>
      <c r="F26" s="157">
        <f t="shared" si="1"/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121600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38">
        <f t="shared" si="2"/>
        <v>121600</v>
      </c>
      <c r="Z26" s="7">
        <f t="shared" si="3"/>
        <v>121600</v>
      </c>
    </row>
    <row r="27" spans="1:26" ht="21.75">
      <c r="A27" s="4">
        <v>21</v>
      </c>
      <c r="B27" s="9" t="s">
        <v>10</v>
      </c>
      <c r="C27" s="8">
        <v>0</v>
      </c>
      <c r="D27" s="8">
        <v>0</v>
      </c>
      <c r="E27" s="8">
        <v>0</v>
      </c>
      <c r="F27" s="157">
        <f t="shared" si="1"/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16000</v>
      </c>
      <c r="R27" s="8">
        <v>0</v>
      </c>
      <c r="S27" s="8">
        <v>0</v>
      </c>
      <c r="T27" s="8">
        <v>0</v>
      </c>
      <c r="U27" s="8">
        <v>121299.17</v>
      </c>
      <c r="V27" s="8">
        <v>0</v>
      </c>
      <c r="W27" s="8">
        <v>0</v>
      </c>
      <c r="X27" s="8">
        <f>2000+2000</f>
        <v>4000</v>
      </c>
      <c r="Y27" s="38">
        <f t="shared" si="2"/>
        <v>141299.16999999998</v>
      </c>
      <c r="Z27" s="7">
        <f t="shared" si="3"/>
        <v>141299.16999999998</v>
      </c>
    </row>
    <row r="28" spans="1:26" ht="21.75">
      <c r="A28" s="4">
        <v>22</v>
      </c>
      <c r="B28" s="5" t="s">
        <v>12</v>
      </c>
      <c r="C28" s="8">
        <v>0</v>
      </c>
      <c r="D28" s="8">
        <v>0</v>
      </c>
      <c r="E28" s="8">
        <v>0</v>
      </c>
      <c r="F28" s="157">
        <f t="shared" si="1"/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28000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2000</v>
      </c>
      <c r="Y28" s="38">
        <f t="shared" si="2"/>
        <v>30000</v>
      </c>
      <c r="Z28" s="7">
        <f t="shared" si="3"/>
        <v>30000</v>
      </c>
    </row>
    <row r="29" spans="1:26" ht="21.75">
      <c r="A29" s="4">
        <v>23</v>
      </c>
      <c r="B29" s="9" t="s">
        <v>25</v>
      </c>
      <c r="C29" s="8">
        <v>0</v>
      </c>
      <c r="D29" s="8">
        <v>0</v>
      </c>
      <c r="E29" s="8">
        <v>0</v>
      </c>
      <c r="F29" s="157">
        <f t="shared" si="1"/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38">
        <f t="shared" si="2"/>
        <v>0</v>
      </c>
      <c r="Z29" s="7">
        <f t="shared" si="3"/>
        <v>0</v>
      </c>
    </row>
    <row r="30" spans="1:26" ht="21.75">
      <c r="A30" s="4">
        <v>24</v>
      </c>
      <c r="B30" s="9" t="s">
        <v>26</v>
      </c>
      <c r="C30" s="8">
        <v>0</v>
      </c>
      <c r="D30" s="8">
        <v>0</v>
      </c>
      <c r="E30" s="8">
        <v>0</v>
      </c>
      <c r="F30" s="157">
        <f t="shared" si="1"/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38">
        <f t="shared" si="2"/>
        <v>0</v>
      </c>
      <c r="Z30" s="7">
        <f t="shared" si="3"/>
        <v>0</v>
      </c>
    </row>
    <row r="31" spans="1:26" ht="21.75">
      <c r="A31" s="4">
        <v>25</v>
      </c>
      <c r="B31" s="9" t="s">
        <v>27</v>
      </c>
      <c r="C31" s="8">
        <v>0</v>
      </c>
      <c r="D31" s="8">
        <v>0</v>
      </c>
      <c r="E31" s="8">
        <v>0</v>
      </c>
      <c r="F31" s="157">
        <f t="shared" si="1"/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98431.8</v>
      </c>
      <c r="W31" s="8">
        <v>0</v>
      </c>
      <c r="X31" s="8">
        <v>0</v>
      </c>
      <c r="Y31" s="38">
        <f t="shared" si="2"/>
        <v>98431.8</v>
      </c>
      <c r="Z31" s="7">
        <f t="shared" si="3"/>
        <v>98431.8</v>
      </c>
    </row>
    <row r="32" spans="1:26" ht="21.75">
      <c r="A32" s="4">
        <v>26</v>
      </c>
      <c r="B32" s="5" t="s">
        <v>28</v>
      </c>
      <c r="C32" s="8">
        <v>0</v>
      </c>
      <c r="D32" s="8">
        <v>0</v>
      </c>
      <c r="E32" s="8">
        <v>0</v>
      </c>
      <c r="F32" s="157">
        <f t="shared" si="1"/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49453799.02</v>
      </c>
      <c r="W32" s="8">
        <v>0</v>
      </c>
      <c r="X32" s="8">
        <v>0</v>
      </c>
      <c r="Y32" s="38">
        <f t="shared" si="2"/>
        <v>49453799.02</v>
      </c>
      <c r="Z32" s="7">
        <f t="shared" si="3"/>
        <v>49453799.02</v>
      </c>
    </row>
    <row r="33" spans="1:26" ht="21.75">
      <c r="A33" s="4">
        <v>27</v>
      </c>
      <c r="B33" s="9" t="s">
        <v>18</v>
      </c>
      <c r="C33" s="8">
        <v>0</v>
      </c>
      <c r="D33" s="8">
        <v>0</v>
      </c>
      <c r="E33" s="8">
        <v>0</v>
      </c>
      <c r="F33" s="157">
        <f t="shared" si="1"/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12592420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38">
        <f t="shared" si="2"/>
        <v>12592420</v>
      </c>
      <c r="Z33" s="7">
        <f t="shared" si="3"/>
        <v>12592420</v>
      </c>
    </row>
    <row r="34" spans="1:26" ht="21.75">
      <c r="A34" s="4">
        <v>28</v>
      </c>
      <c r="B34" s="9" t="s">
        <v>19</v>
      </c>
      <c r="C34" s="8">
        <v>0</v>
      </c>
      <c r="D34" s="8">
        <v>0</v>
      </c>
      <c r="E34" s="8">
        <v>0</v>
      </c>
      <c r="F34" s="157">
        <f t="shared" si="1"/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38">
        <f t="shared" si="2"/>
        <v>0</v>
      </c>
      <c r="Z34" s="7">
        <f t="shared" si="3"/>
        <v>0</v>
      </c>
    </row>
    <row r="35" spans="1:26" ht="21.75">
      <c r="A35" s="4">
        <v>29</v>
      </c>
      <c r="B35" s="9" t="s">
        <v>20</v>
      </c>
      <c r="C35" s="8">
        <v>0</v>
      </c>
      <c r="D35" s="8">
        <v>0</v>
      </c>
      <c r="E35" s="8">
        <v>0</v>
      </c>
      <c r="F35" s="157">
        <f t="shared" si="1"/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37600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f>502800+2572.31</f>
        <v>505372.31</v>
      </c>
      <c r="Y35" s="38">
        <f t="shared" si="2"/>
        <v>542972.31</v>
      </c>
      <c r="Z35" s="7">
        <f t="shared" si="3"/>
        <v>542972.31</v>
      </c>
    </row>
    <row r="36" spans="1:26" ht="21.75">
      <c r="A36" s="4">
        <v>30</v>
      </c>
      <c r="B36" s="9" t="s">
        <v>21</v>
      </c>
      <c r="C36" s="8">
        <v>0</v>
      </c>
      <c r="D36" s="8">
        <v>0</v>
      </c>
      <c r="E36" s="8">
        <v>0</v>
      </c>
      <c r="F36" s="157">
        <f t="shared" si="1"/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1025950</v>
      </c>
      <c r="Y36" s="38">
        <f t="shared" si="2"/>
        <v>1025950</v>
      </c>
      <c r="Z36" s="7">
        <f t="shared" si="3"/>
        <v>1025950</v>
      </c>
    </row>
    <row r="37" spans="1:26" ht="21.75">
      <c r="A37" s="4">
        <v>31</v>
      </c>
      <c r="B37" s="9" t="s">
        <v>49</v>
      </c>
      <c r="C37" s="8">
        <v>0</v>
      </c>
      <c r="D37" s="8">
        <v>0</v>
      </c>
      <c r="E37" s="8">
        <v>0</v>
      </c>
      <c r="F37" s="157">
        <f>SUM(C37:E37)</f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5072900</v>
      </c>
      <c r="X37" s="8">
        <f>2463717.41</f>
        <v>2463717.41</v>
      </c>
      <c r="Y37" s="38">
        <f t="shared" si="2"/>
        <v>7536617.41</v>
      </c>
      <c r="Z37" s="7">
        <f t="shared" si="3"/>
        <v>7536617.41</v>
      </c>
    </row>
    <row r="38" spans="1:26" ht="21.75">
      <c r="A38" s="4">
        <v>32</v>
      </c>
      <c r="B38" s="9" t="s">
        <v>22</v>
      </c>
      <c r="C38" s="8">
        <v>0</v>
      </c>
      <c r="D38" s="8">
        <v>0</v>
      </c>
      <c r="E38" s="8">
        <v>0</v>
      </c>
      <c r="F38" s="157">
        <f t="shared" si="1"/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f>923910.02</f>
        <v>923910.02</v>
      </c>
      <c r="U38" s="8">
        <v>0</v>
      </c>
      <c r="V38" s="8">
        <v>0</v>
      </c>
      <c r="W38" s="8">
        <v>477010</v>
      </c>
      <c r="X38" s="8">
        <f>220517</f>
        <v>220517</v>
      </c>
      <c r="Y38" s="38">
        <f t="shared" si="2"/>
        <v>1621437.02</v>
      </c>
      <c r="Z38" s="7">
        <f t="shared" si="3"/>
        <v>1621437.02</v>
      </c>
    </row>
    <row r="39" spans="1:26" ht="21.75">
      <c r="A39" s="4">
        <v>33</v>
      </c>
      <c r="B39" s="9" t="s">
        <v>23</v>
      </c>
      <c r="C39" s="8">
        <v>0</v>
      </c>
      <c r="D39" s="8">
        <v>0</v>
      </c>
      <c r="E39" s="8">
        <v>0</v>
      </c>
      <c r="F39" s="157">
        <f t="shared" si="1"/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f>4850746.94+3200774.18</f>
        <v>8051521.120000001</v>
      </c>
      <c r="U39" s="8">
        <v>0</v>
      </c>
      <c r="V39" s="8">
        <v>0</v>
      </c>
      <c r="W39" s="8">
        <v>1408110</v>
      </c>
      <c r="X39" s="8">
        <f>95712.06</f>
        <v>95712.06</v>
      </c>
      <c r="Y39" s="38">
        <f t="shared" si="2"/>
        <v>9555343.180000002</v>
      </c>
      <c r="Z39" s="7">
        <f t="shared" si="3"/>
        <v>9555343.180000002</v>
      </c>
    </row>
    <row r="40" spans="1:26" ht="21.75">
      <c r="A40" s="4">
        <v>34</v>
      </c>
      <c r="B40" s="9" t="s">
        <v>24</v>
      </c>
      <c r="C40" s="161">
        <v>0</v>
      </c>
      <c r="D40" s="161">
        <v>0</v>
      </c>
      <c r="E40" s="161">
        <v>0</v>
      </c>
      <c r="F40" s="157">
        <f t="shared" si="1"/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f>223132.69</f>
        <v>223132.69</v>
      </c>
      <c r="U40" s="8">
        <v>0</v>
      </c>
      <c r="V40" s="8">
        <v>0</v>
      </c>
      <c r="W40" s="8">
        <v>6320.5</v>
      </c>
      <c r="X40" s="8">
        <f>233925.21</f>
        <v>233925.21</v>
      </c>
      <c r="Y40" s="38">
        <f t="shared" si="2"/>
        <v>463378.4</v>
      </c>
      <c r="Z40" s="7">
        <f t="shared" si="3"/>
        <v>463378.4</v>
      </c>
    </row>
    <row r="41" spans="1:26" ht="21.75">
      <c r="A41" s="4">
        <v>35</v>
      </c>
      <c r="B41" s="12" t="s">
        <v>50</v>
      </c>
      <c r="C41" s="161">
        <v>0</v>
      </c>
      <c r="D41" s="161">
        <v>0</v>
      </c>
      <c r="E41" s="161">
        <v>0</v>
      </c>
      <c r="F41" s="157">
        <f t="shared" si="1"/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38">
        <f t="shared" si="2"/>
        <v>0</v>
      </c>
      <c r="Z41" s="7">
        <f t="shared" si="3"/>
        <v>0</v>
      </c>
    </row>
    <row r="42" spans="1:26" ht="21.75">
      <c r="A42" s="4" t="s">
        <v>47</v>
      </c>
      <c r="B42" s="12" t="s">
        <v>43</v>
      </c>
      <c r="C42" s="161">
        <v>0</v>
      </c>
      <c r="D42" s="161">
        <v>0</v>
      </c>
      <c r="E42" s="161">
        <v>0</v>
      </c>
      <c r="F42" s="157">
        <f>SUM(C42:E42)</f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f>952734.44-271115</f>
        <v>681619.44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38">
        <f t="shared" si="2"/>
        <v>681619.44</v>
      </c>
      <c r="Z42" s="7">
        <f t="shared" si="3"/>
        <v>681619.44</v>
      </c>
    </row>
    <row r="43" spans="1:26" s="11" customFormat="1" ht="24">
      <c r="A43" s="10" t="s">
        <v>40</v>
      </c>
      <c r="B43" s="12" t="s">
        <v>39</v>
      </c>
      <c r="C43" s="142"/>
      <c r="D43" s="143">
        <f>SUM(F52-F53)</f>
        <v>-2018535</v>
      </c>
      <c r="E43" s="144"/>
      <c r="F43" s="158">
        <f>SUM(C43:E43)</f>
        <v>-2018535</v>
      </c>
      <c r="G43" s="25">
        <v>5551500</v>
      </c>
      <c r="H43" s="25">
        <v>5153800</v>
      </c>
      <c r="I43" s="25">
        <v>-43638.26</v>
      </c>
      <c r="J43" s="25">
        <v>12523464.63</v>
      </c>
      <c r="K43" s="25">
        <v>61710.42</v>
      </c>
      <c r="L43" s="25">
        <v>7100400</v>
      </c>
      <c r="M43" s="25">
        <v>8385606</v>
      </c>
      <c r="N43" s="25">
        <v>12425999.97</v>
      </c>
      <c r="O43" s="8">
        <v>1746828</v>
      </c>
      <c r="P43" s="8">
        <v>290815.2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38">
        <f t="shared" si="2"/>
        <v>53196485.96000001</v>
      </c>
      <c r="Z43" s="7">
        <f t="shared" si="3"/>
        <v>51177950.96000001</v>
      </c>
    </row>
    <row r="44" spans="3:26" s="11" customFormat="1" ht="22.5" thickBot="1">
      <c r="C44" s="26"/>
      <c r="D44" s="26"/>
      <c r="E44" s="26"/>
      <c r="F44" s="27">
        <f aca="true" t="shared" si="4" ref="F44:Z44">SUM(F7:F43)</f>
        <v>323999915</v>
      </c>
      <c r="G44" s="13">
        <f t="shared" si="4"/>
        <v>5776840</v>
      </c>
      <c r="H44" s="13">
        <f t="shared" si="4"/>
        <v>5191800</v>
      </c>
      <c r="I44" s="13">
        <f t="shared" si="4"/>
        <v>1591697.11</v>
      </c>
      <c r="J44" s="13">
        <f t="shared" si="4"/>
        <v>12709747.06</v>
      </c>
      <c r="K44" s="13">
        <f t="shared" si="4"/>
        <v>61710.42</v>
      </c>
      <c r="L44" s="13">
        <f t="shared" si="4"/>
        <v>7100400</v>
      </c>
      <c r="M44" s="13">
        <f t="shared" si="4"/>
        <v>8385606</v>
      </c>
      <c r="N44" s="13">
        <f t="shared" si="4"/>
        <v>12425999.97</v>
      </c>
      <c r="O44" s="13">
        <f t="shared" si="4"/>
        <v>1746828</v>
      </c>
      <c r="P44" s="13">
        <f t="shared" si="4"/>
        <v>290815.2</v>
      </c>
      <c r="Q44" s="13">
        <f t="shared" si="4"/>
        <v>35789546.84</v>
      </c>
      <c r="R44" s="13">
        <f t="shared" si="4"/>
        <v>10693799.58</v>
      </c>
      <c r="S44" s="13">
        <f t="shared" si="4"/>
        <v>952734.44</v>
      </c>
      <c r="T44" s="13">
        <f t="shared" si="4"/>
        <v>13754178.280000001</v>
      </c>
      <c r="U44" s="13">
        <f t="shared" si="4"/>
        <v>841737.96</v>
      </c>
      <c r="V44" s="13">
        <f t="shared" si="4"/>
        <v>49552230.82</v>
      </c>
      <c r="W44" s="13">
        <f t="shared" si="4"/>
        <v>7504576.5</v>
      </c>
      <c r="X44" s="13">
        <f t="shared" si="4"/>
        <v>35466999.260000005</v>
      </c>
      <c r="Y44" s="13">
        <f t="shared" si="4"/>
        <v>209837247.44000003</v>
      </c>
      <c r="Z44" s="13">
        <f t="shared" si="4"/>
        <v>533837162.44000006</v>
      </c>
    </row>
    <row r="45" spans="3:26" ht="19.5" thickTop="1">
      <c r="C45" s="26"/>
      <c r="D45" s="26"/>
      <c r="E45" s="26"/>
      <c r="F45" s="14"/>
      <c r="Z45" s="14"/>
    </row>
    <row r="46" spans="1:6" s="36" customFormat="1" ht="21">
      <c r="A46" s="33" t="s">
        <v>53</v>
      </c>
      <c r="B46" s="34"/>
      <c r="C46" s="35"/>
      <c r="D46" s="149"/>
      <c r="E46" s="150"/>
      <c r="F46" s="151"/>
    </row>
    <row r="47" spans="1:6" s="36" customFormat="1" ht="21">
      <c r="A47" s="22"/>
      <c r="B47" s="37" t="s">
        <v>103</v>
      </c>
      <c r="C47" s="16"/>
      <c r="D47" s="16"/>
      <c r="E47" s="151"/>
      <c r="F47" s="151"/>
    </row>
    <row r="48" spans="2:26" s="16" customFormat="1" ht="21">
      <c r="B48" s="16" t="s">
        <v>104</v>
      </c>
      <c r="C48" s="152"/>
      <c r="D48" s="152"/>
      <c r="E48" s="152"/>
      <c r="F48" s="153"/>
      <c r="Y48" s="35"/>
      <c r="Z48" s="153"/>
    </row>
    <row r="51" ht="18.75">
      <c r="F51" s="14"/>
    </row>
    <row r="52" spans="4:26" ht="18.75">
      <c r="D52" s="1" t="s">
        <v>86</v>
      </c>
      <c r="F52" s="14">
        <v>323999915</v>
      </c>
      <c r="Z52" s="14"/>
    </row>
    <row r="53" spans="6:26" ht="18.75">
      <c r="F53" s="14">
        <f>SUM(F7:F42)</f>
        <v>326018450</v>
      </c>
      <c r="Z53" s="14"/>
    </row>
    <row r="54" ht="18.75">
      <c r="F54" s="14">
        <f>SUM(F44-F52)</f>
        <v>0</v>
      </c>
    </row>
    <row r="55" ht="18.75">
      <c r="F55" s="14"/>
    </row>
    <row r="56" ht="18.75">
      <c r="F56" s="14"/>
    </row>
  </sheetData>
  <sheetProtection/>
  <mergeCells count="8">
    <mergeCell ref="A1:Z1"/>
    <mergeCell ref="A2:Z2"/>
    <mergeCell ref="A3:Z3"/>
    <mergeCell ref="A5:A6"/>
    <mergeCell ref="B5:B6"/>
    <mergeCell ref="C5:F5"/>
    <mergeCell ref="G5:Y5"/>
    <mergeCell ref="Z5:Z6"/>
  </mergeCells>
  <printOptions/>
  <pageMargins left="0.22" right="0.17" top="0.75" bottom="0.75" header="0.3" footer="0.3"/>
  <pageSetup horizontalDpi="600" verticalDpi="600" orientation="landscape" paperSize="9" scale="3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Z54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Z3"/>
    </sheetView>
  </sheetViews>
  <sheetFormatPr defaultColWidth="9.140625" defaultRowHeight="15"/>
  <cols>
    <col min="1" max="1" width="2.8515625" style="86" bestFit="1" customWidth="1"/>
    <col min="2" max="2" width="32.8515625" style="86" customWidth="1"/>
    <col min="3" max="4" width="11.7109375" style="86" customWidth="1"/>
    <col min="5" max="5" width="8.57421875" style="86" bestFit="1" customWidth="1"/>
    <col min="6" max="6" width="16.421875" style="87" customWidth="1"/>
    <col min="7" max="7" width="14.00390625" style="86" customWidth="1"/>
    <col min="8" max="8" width="14.140625" style="86" customWidth="1"/>
    <col min="9" max="9" width="15.00390625" style="86" customWidth="1"/>
    <col min="10" max="10" width="14.7109375" style="86" customWidth="1"/>
    <col min="11" max="11" width="13.140625" style="86" customWidth="1"/>
    <col min="12" max="12" width="13.7109375" style="86" customWidth="1"/>
    <col min="13" max="13" width="14.8515625" style="86" customWidth="1"/>
    <col min="14" max="14" width="13.7109375" style="86" customWidth="1"/>
    <col min="15" max="15" width="14.00390625" style="86" customWidth="1"/>
    <col min="16" max="16" width="13.140625" style="86" customWidth="1"/>
    <col min="17" max="17" width="14.57421875" style="86" customWidth="1"/>
    <col min="18" max="18" width="14.7109375" style="86" customWidth="1"/>
    <col min="19" max="19" width="13.140625" style="86" customWidth="1"/>
    <col min="20" max="20" width="15.00390625" style="86" customWidth="1"/>
    <col min="21" max="21" width="13.140625" style="86" customWidth="1"/>
    <col min="22" max="22" width="13.7109375" style="86" customWidth="1"/>
    <col min="23" max="23" width="14.57421875" style="86" customWidth="1"/>
    <col min="24" max="24" width="14.7109375" style="86" customWidth="1"/>
    <col min="25" max="25" width="16.140625" style="87" bestFit="1" customWidth="1"/>
    <col min="26" max="26" width="16.28125" style="87" customWidth="1"/>
    <col min="27" max="16384" width="9.00390625" style="86" customWidth="1"/>
  </cols>
  <sheetData>
    <row r="1" spans="1:26" ht="24">
      <c r="A1" s="215" t="s">
        <v>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26" ht="24">
      <c r="A2" s="215" t="s">
        <v>105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ht="24">
      <c r="A3" s="216" t="s">
        <v>44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12" ht="21">
      <c r="A4" s="87"/>
      <c r="H4" s="124"/>
      <c r="L4" s="125"/>
    </row>
    <row r="5" spans="1:26" ht="22.5" customHeight="1">
      <c r="A5" s="231" t="s">
        <v>38</v>
      </c>
      <c r="B5" s="231" t="s">
        <v>45</v>
      </c>
      <c r="C5" s="233" t="s">
        <v>57</v>
      </c>
      <c r="D5" s="234"/>
      <c r="E5" s="234"/>
      <c r="F5" s="235"/>
      <c r="G5" s="236" t="s">
        <v>56</v>
      </c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7" t="s">
        <v>71</v>
      </c>
    </row>
    <row r="6" spans="1:26" ht="105">
      <c r="A6" s="232"/>
      <c r="B6" s="232"/>
      <c r="C6" s="93" t="s">
        <v>87</v>
      </c>
      <c r="D6" s="93" t="s">
        <v>88</v>
      </c>
      <c r="E6" s="93" t="s">
        <v>89</v>
      </c>
      <c r="F6" s="126" t="s">
        <v>90</v>
      </c>
      <c r="G6" s="92" t="s">
        <v>75</v>
      </c>
      <c r="H6" s="92" t="s">
        <v>76</v>
      </c>
      <c r="I6" s="92" t="s">
        <v>77</v>
      </c>
      <c r="J6" s="92" t="s">
        <v>78</v>
      </c>
      <c r="K6" s="92" t="s">
        <v>41</v>
      </c>
      <c r="L6" s="92" t="s">
        <v>79</v>
      </c>
      <c r="M6" s="92" t="s">
        <v>80</v>
      </c>
      <c r="N6" s="92" t="s">
        <v>81</v>
      </c>
      <c r="O6" s="93" t="s">
        <v>82</v>
      </c>
      <c r="P6" s="93" t="s">
        <v>83</v>
      </c>
      <c r="Q6" s="94" t="s">
        <v>29</v>
      </c>
      <c r="R6" s="95" t="s">
        <v>31</v>
      </c>
      <c r="S6" s="95" t="s">
        <v>30</v>
      </c>
      <c r="T6" s="95" t="s">
        <v>32</v>
      </c>
      <c r="U6" s="95" t="s">
        <v>33</v>
      </c>
      <c r="V6" s="95" t="s">
        <v>34</v>
      </c>
      <c r="W6" s="96" t="s">
        <v>41</v>
      </c>
      <c r="X6" s="96" t="s">
        <v>46</v>
      </c>
      <c r="Y6" s="97" t="s">
        <v>84</v>
      </c>
      <c r="Z6" s="238"/>
    </row>
    <row r="7" spans="1:26" ht="21">
      <c r="A7" s="98">
        <v>1</v>
      </c>
      <c r="B7" s="99" t="s">
        <v>6</v>
      </c>
      <c r="C7" s="100">
        <v>5619300</v>
      </c>
      <c r="D7" s="100">
        <v>5394100</v>
      </c>
      <c r="E7" s="100">
        <v>0</v>
      </c>
      <c r="F7" s="110">
        <f>SUM(C7:E7)</f>
        <v>11013400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3592471.48</v>
      </c>
      <c r="U7" s="100">
        <v>82548.76</v>
      </c>
      <c r="V7" s="100">
        <v>0</v>
      </c>
      <c r="W7" s="100">
        <f>138000</f>
        <v>138000</v>
      </c>
      <c r="X7" s="100">
        <f>5084598</f>
        <v>5084598</v>
      </c>
      <c r="Y7" s="105">
        <f>SUM(G7:X7)</f>
        <v>8897618.24</v>
      </c>
      <c r="Z7" s="106">
        <f>SUM(F7+Y7)</f>
        <v>19911018.240000002</v>
      </c>
    </row>
    <row r="8" spans="1:26" ht="21">
      <c r="A8" s="98">
        <v>2</v>
      </c>
      <c r="B8" s="99" t="s">
        <v>1</v>
      </c>
      <c r="C8" s="100">
        <v>17867250</v>
      </c>
      <c r="D8" s="100">
        <v>16893250</v>
      </c>
      <c r="E8" s="100">
        <v>0</v>
      </c>
      <c r="F8" s="110">
        <f aca="true" t="shared" si="0" ref="F8:F39">SUM(C8:E8)</f>
        <v>34760500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1598540</v>
      </c>
      <c r="R8" s="100">
        <v>33000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16500</v>
      </c>
      <c r="Y8" s="105">
        <f aca="true" t="shared" si="1" ref="Y8:Y42">SUM(G8:X8)</f>
        <v>1648040</v>
      </c>
      <c r="Z8" s="106">
        <f aca="true" t="shared" si="2" ref="Z8:Z42">SUM(F8+Y8)</f>
        <v>36408540</v>
      </c>
    </row>
    <row r="9" spans="1:26" ht="21">
      <c r="A9" s="98">
        <v>3</v>
      </c>
      <c r="B9" s="107" t="s">
        <v>3</v>
      </c>
      <c r="C9" s="100">
        <v>28293500</v>
      </c>
      <c r="D9" s="100">
        <v>26861500</v>
      </c>
      <c r="E9" s="100">
        <v>0</v>
      </c>
      <c r="F9" s="110">
        <f t="shared" si="0"/>
        <v>55155000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991400</v>
      </c>
      <c r="R9" s="100">
        <v>4209955.42</v>
      </c>
      <c r="S9" s="100">
        <v>0</v>
      </c>
      <c r="T9" s="100">
        <v>0</v>
      </c>
      <c r="U9" s="100">
        <v>191222.29</v>
      </c>
      <c r="V9" s="100">
        <v>0</v>
      </c>
      <c r="W9" s="100">
        <v>0</v>
      </c>
      <c r="X9" s="100">
        <f>177852.75</f>
        <v>177852.75</v>
      </c>
      <c r="Y9" s="105">
        <f t="shared" si="1"/>
        <v>5570430.46</v>
      </c>
      <c r="Z9" s="106">
        <f t="shared" si="2"/>
        <v>60725430.46</v>
      </c>
    </row>
    <row r="10" spans="1:26" ht="21">
      <c r="A10" s="98">
        <v>4</v>
      </c>
      <c r="B10" s="99" t="s">
        <v>5</v>
      </c>
      <c r="C10" s="100">
        <v>12844250</v>
      </c>
      <c r="D10" s="100">
        <v>12696500</v>
      </c>
      <c r="E10" s="100">
        <v>0</v>
      </c>
      <c r="F10" s="110">
        <f t="shared" si="0"/>
        <v>25540750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56129</v>
      </c>
      <c r="R10" s="100">
        <v>0</v>
      </c>
      <c r="S10" s="100">
        <v>0</v>
      </c>
      <c r="T10" s="100">
        <v>0</v>
      </c>
      <c r="U10" s="100">
        <v>13268.47</v>
      </c>
      <c r="V10" s="100">
        <v>0</v>
      </c>
      <c r="W10" s="100">
        <v>0</v>
      </c>
      <c r="X10" s="100">
        <v>0</v>
      </c>
      <c r="Y10" s="105">
        <f t="shared" si="1"/>
        <v>69397.47</v>
      </c>
      <c r="Z10" s="106">
        <f t="shared" si="2"/>
        <v>25610147.47</v>
      </c>
    </row>
    <row r="11" spans="1:26" ht="21">
      <c r="A11" s="98">
        <v>5</v>
      </c>
      <c r="B11" s="99" t="s">
        <v>7</v>
      </c>
      <c r="C11" s="100">
        <v>14011000</v>
      </c>
      <c r="D11" s="100">
        <v>13282500</v>
      </c>
      <c r="E11" s="100">
        <v>0</v>
      </c>
      <c r="F11" s="110">
        <f t="shared" si="0"/>
        <v>27293500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7446695</v>
      </c>
      <c r="R11" s="100">
        <v>2603113.98</v>
      </c>
      <c r="S11" s="100">
        <v>0</v>
      </c>
      <c r="T11" s="100">
        <v>0</v>
      </c>
      <c r="U11" s="100">
        <v>447822.69</v>
      </c>
      <c r="V11" s="100">
        <v>0</v>
      </c>
      <c r="W11" s="100">
        <v>0</v>
      </c>
      <c r="X11" s="100">
        <f>3249372.7+33771282.52</f>
        <v>37020655.220000006</v>
      </c>
      <c r="Y11" s="105">
        <f t="shared" si="1"/>
        <v>47518286.89000001</v>
      </c>
      <c r="Z11" s="106">
        <f t="shared" si="2"/>
        <v>74811786.89000002</v>
      </c>
    </row>
    <row r="12" spans="1:26" ht="21">
      <c r="A12" s="98">
        <v>6</v>
      </c>
      <c r="B12" s="99" t="s">
        <v>35</v>
      </c>
      <c r="C12" s="100">
        <v>596000</v>
      </c>
      <c r="D12" s="100">
        <v>503000</v>
      </c>
      <c r="E12" s="100">
        <v>0</v>
      </c>
      <c r="F12" s="110">
        <f t="shared" si="0"/>
        <v>1099000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1685266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30000</v>
      </c>
      <c r="X12" s="100">
        <v>0</v>
      </c>
      <c r="Y12" s="105">
        <f t="shared" si="1"/>
        <v>1715266</v>
      </c>
      <c r="Z12" s="106">
        <f t="shared" si="2"/>
        <v>2814266</v>
      </c>
    </row>
    <row r="13" spans="1:26" ht="21">
      <c r="A13" s="98">
        <v>7</v>
      </c>
      <c r="B13" s="107" t="s">
        <v>2</v>
      </c>
      <c r="C13" s="100">
        <v>6073250</v>
      </c>
      <c r="D13" s="100">
        <v>5742000</v>
      </c>
      <c r="E13" s="100">
        <v>0</v>
      </c>
      <c r="F13" s="110">
        <f t="shared" si="0"/>
        <v>11815250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56300</v>
      </c>
      <c r="R13" s="100">
        <v>350000</v>
      </c>
      <c r="S13" s="100">
        <v>0</v>
      </c>
      <c r="T13" s="100">
        <v>0</v>
      </c>
      <c r="U13" s="100">
        <v>3523.11</v>
      </c>
      <c r="V13" s="100">
        <v>0</v>
      </c>
      <c r="W13" s="100">
        <v>0</v>
      </c>
      <c r="X13" s="100">
        <f>1008000</f>
        <v>1008000</v>
      </c>
      <c r="Y13" s="105">
        <f t="shared" si="1"/>
        <v>1417823.1099999999</v>
      </c>
      <c r="Z13" s="106">
        <f t="shared" si="2"/>
        <v>13233073.11</v>
      </c>
    </row>
    <row r="14" spans="1:26" ht="21">
      <c r="A14" s="98">
        <v>8</v>
      </c>
      <c r="B14" s="99" t="s">
        <v>0</v>
      </c>
      <c r="C14" s="100">
        <v>31051250</v>
      </c>
      <c r="D14" s="100">
        <v>30851500</v>
      </c>
      <c r="E14" s="100">
        <v>55000</v>
      </c>
      <c r="F14" s="110">
        <f t="shared" si="0"/>
        <v>61957750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7617721</v>
      </c>
      <c r="R14" s="100">
        <v>4650625</v>
      </c>
      <c r="S14" s="100">
        <v>0</v>
      </c>
      <c r="T14" s="100">
        <v>0</v>
      </c>
      <c r="U14" s="100">
        <v>0</v>
      </c>
      <c r="V14" s="100">
        <v>0</v>
      </c>
      <c r="W14" s="100">
        <f>11.59+95000</f>
        <v>95011.59</v>
      </c>
      <c r="X14" s="100">
        <f>4997881.25+4855550</f>
        <v>9853431.25</v>
      </c>
      <c r="Y14" s="105">
        <f t="shared" si="1"/>
        <v>22216788.84</v>
      </c>
      <c r="Z14" s="106">
        <f t="shared" si="2"/>
        <v>84174538.84</v>
      </c>
    </row>
    <row r="15" spans="1:26" ht="21">
      <c r="A15" s="98">
        <v>9</v>
      </c>
      <c r="B15" s="107" t="s">
        <v>4</v>
      </c>
      <c r="C15" s="100">
        <v>27544000</v>
      </c>
      <c r="D15" s="100">
        <v>26297000</v>
      </c>
      <c r="E15" s="100">
        <v>0</v>
      </c>
      <c r="F15" s="110">
        <f t="shared" si="0"/>
        <v>53841000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308000</v>
      </c>
      <c r="R15" s="100">
        <v>3266900</v>
      </c>
      <c r="S15" s="100">
        <v>0</v>
      </c>
      <c r="T15" s="100">
        <v>0</v>
      </c>
      <c r="U15" s="100">
        <v>0</v>
      </c>
      <c r="V15" s="100">
        <v>0</v>
      </c>
      <c r="W15" s="100">
        <v>1399.45</v>
      </c>
      <c r="X15" s="100">
        <f>167295</f>
        <v>167295</v>
      </c>
      <c r="Y15" s="105">
        <f t="shared" si="1"/>
        <v>3743594.45</v>
      </c>
      <c r="Z15" s="106">
        <f t="shared" si="2"/>
        <v>57584594.45</v>
      </c>
    </row>
    <row r="16" spans="1:26" ht="21">
      <c r="A16" s="98">
        <v>10</v>
      </c>
      <c r="B16" s="107" t="s">
        <v>36</v>
      </c>
      <c r="C16" s="100">
        <v>0</v>
      </c>
      <c r="D16" s="100">
        <v>0</v>
      </c>
      <c r="E16" s="100">
        <v>0</v>
      </c>
      <c r="F16" s="110">
        <f t="shared" si="0"/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5">
        <f t="shared" si="1"/>
        <v>0</v>
      </c>
      <c r="Z16" s="106">
        <f t="shared" si="2"/>
        <v>0</v>
      </c>
    </row>
    <row r="17" spans="1:26" s="111" customFormat="1" ht="21">
      <c r="A17" s="109">
        <v>11</v>
      </c>
      <c r="B17" s="107" t="s">
        <v>8</v>
      </c>
      <c r="C17" s="108">
        <v>0</v>
      </c>
      <c r="D17" s="108">
        <v>0</v>
      </c>
      <c r="E17" s="100">
        <v>0</v>
      </c>
      <c r="F17" s="110">
        <v>7025450</v>
      </c>
      <c r="G17" s="108">
        <v>255750</v>
      </c>
      <c r="H17" s="108">
        <v>0</v>
      </c>
      <c r="I17" s="108">
        <f>5183400.21-5071035</f>
        <v>112365.20999999996</v>
      </c>
      <c r="J17" s="108">
        <v>472779.23</v>
      </c>
      <c r="K17" s="108">
        <v>0</v>
      </c>
      <c r="L17" s="108">
        <v>0</v>
      </c>
      <c r="M17" s="108">
        <v>0</v>
      </c>
      <c r="N17" s="108">
        <v>0</v>
      </c>
      <c r="O17" s="100">
        <v>0</v>
      </c>
      <c r="P17" s="100">
        <v>0</v>
      </c>
      <c r="Q17" s="100">
        <v>5071035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5">
        <f t="shared" si="1"/>
        <v>5911929.4399999995</v>
      </c>
      <c r="Z17" s="106">
        <f t="shared" si="2"/>
        <v>12937379.44</v>
      </c>
    </row>
    <row r="18" spans="1:26" ht="21">
      <c r="A18" s="98">
        <v>12</v>
      </c>
      <c r="B18" s="107" t="s">
        <v>37</v>
      </c>
      <c r="C18" s="100">
        <v>0</v>
      </c>
      <c r="D18" s="100">
        <v>0</v>
      </c>
      <c r="E18" s="100">
        <v>0</v>
      </c>
      <c r="F18" s="110">
        <f t="shared" si="0"/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180040</v>
      </c>
      <c r="R18" s="100">
        <v>15000</v>
      </c>
      <c r="S18" s="100">
        <v>0</v>
      </c>
      <c r="T18" s="100">
        <v>0</v>
      </c>
      <c r="U18" s="100">
        <v>0</v>
      </c>
      <c r="V18" s="100">
        <v>0</v>
      </c>
      <c r="W18" s="100">
        <v>103000</v>
      </c>
      <c r="X18" s="100">
        <f>207500</f>
        <v>207500</v>
      </c>
      <c r="Y18" s="105">
        <f t="shared" si="1"/>
        <v>505540</v>
      </c>
      <c r="Z18" s="106">
        <f t="shared" si="2"/>
        <v>505540</v>
      </c>
    </row>
    <row r="19" spans="1:26" ht="21">
      <c r="A19" s="98">
        <v>13</v>
      </c>
      <c r="B19" s="107" t="s">
        <v>9</v>
      </c>
      <c r="C19" s="100">
        <v>240000</v>
      </c>
      <c r="D19" s="100">
        <v>60000</v>
      </c>
      <c r="E19" s="100">
        <v>0</v>
      </c>
      <c r="F19" s="110">
        <f t="shared" si="0"/>
        <v>300000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5">
        <f t="shared" si="1"/>
        <v>0</v>
      </c>
      <c r="Z19" s="106">
        <f t="shared" si="2"/>
        <v>300000</v>
      </c>
    </row>
    <row r="20" spans="1:26" ht="21">
      <c r="A20" s="98">
        <v>14</v>
      </c>
      <c r="B20" s="99" t="s">
        <v>16</v>
      </c>
      <c r="C20" s="100">
        <v>0</v>
      </c>
      <c r="D20" s="100">
        <v>0</v>
      </c>
      <c r="E20" s="100">
        <v>0</v>
      </c>
      <c r="F20" s="110">
        <f t="shared" si="0"/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468278.12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f>10019.52</f>
        <v>10019.52</v>
      </c>
      <c r="X20" s="100">
        <v>0</v>
      </c>
      <c r="Y20" s="105">
        <f t="shared" si="1"/>
        <v>478297.64</v>
      </c>
      <c r="Z20" s="106">
        <f t="shared" si="2"/>
        <v>478297.64</v>
      </c>
    </row>
    <row r="21" spans="1:26" ht="21">
      <c r="A21" s="98">
        <v>15</v>
      </c>
      <c r="B21" s="107" t="s">
        <v>14</v>
      </c>
      <c r="C21" s="100">
        <v>0</v>
      </c>
      <c r="D21" s="100">
        <v>0</v>
      </c>
      <c r="E21" s="100">
        <v>0</v>
      </c>
      <c r="F21" s="110">
        <f t="shared" si="0"/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64960</v>
      </c>
      <c r="R21" s="100">
        <v>0</v>
      </c>
      <c r="S21" s="100">
        <v>0</v>
      </c>
      <c r="T21" s="100">
        <v>1144417.66</v>
      </c>
      <c r="U21" s="100">
        <v>0</v>
      </c>
      <c r="V21" s="100">
        <v>0</v>
      </c>
      <c r="W21" s="100">
        <f>313378</f>
        <v>313378</v>
      </c>
      <c r="X21" s="100">
        <f>10000</f>
        <v>10000</v>
      </c>
      <c r="Y21" s="105">
        <f t="shared" si="1"/>
        <v>1532755.66</v>
      </c>
      <c r="Z21" s="106">
        <f t="shared" si="2"/>
        <v>1532755.66</v>
      </c>
    </row>
    <row r="22" spans="1:26" ht="21">
      <c r="A22" s="98">
        <v>16</v>
      </c>
      <c r="B22" s="107" t="s">
        <v>15</v>
      </c>
      <c r="C22" s="100">
        <v>0</v>
      </c>
      <c r="D22" s="100">
        <v>0</v>
      </c>
      <c r="E22" s="100">
        <v>0</v>
      </c>
      <c r="F22" s="110">
        <f t="shared" si="0"/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850500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f>2237491</f>
        <v>2237491</v>
      </c>
      <c r="Y22" s="105">
        <f t="shared" si="1"/>
        <v>3087991</v>
      </c>
      <c r="Z22" s="106">
        <f t="shared" si="2"/>
        <v>3087991</v>
      </c>
    </row>
    <row r="23" spans="1:26" ht="21">
      <c r="A23" s="98">
        <v>17</v>
      </c>
      <c r="B23" s="99" t="s">
        <v>17</v>
      </c>
      <c r="C23" s="100">
        <v>0</v>
      </c>
      <c r="D23" s="100">
        <v>0</v>
      </c>
      <c r="E23" s="100">
        <v>0</v>
      </c>
      <c r="F23" s="110">
        <f t="shared" si="0"/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38000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19000</v>
      </c>
      <c r="Y23" s="105">
        <f t="shared" si="1"/>
        <v>57000</v>
      </c>
      <c r="Z23" s="106">
        <f t="shared" si="2"/>
        <v>57000</v>
      </c>
    </row>
    <row r="24" spans="1:26" ht="21">
      <c r="A24" s="98">
        <v>18</v>
      </c>
      <c r="B24" s="107" t="s">
        <v>11</v>
      </c>
      <c r="C24" s="100">
        <v>0</v>
      </c>
      <c r="D24" s="100">
        <v>0</v>
      </c>
      <c r="E24" s="100">
        <v>0</v>
      </c>
      <c r="F24" s="110">
        <f t="shared" si="0"/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248380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5">
        <f t="shared" si="1"/>
        <v>248380</v>
      </c>
      <c r="Z24" s="106">
        <f t="shared" si="2"/>
        <v>248380</v>
      </c>
    </row>
    <row r="25" spans="1:26" ht="21">
      <c r="A25" s="98">
        <v>19</v>
      </c>
      <c r="B25" s="107" t="s">
        <v>13</v>
      </c>
      <c r="C25" s="100">
        <v>0</v>
      </c>
      <c r="D25" s="100">
        <v>0</v>
      </c>
      <c r="E25" s="100">
        <v>0</v>
      </c>
      <c r="F25" s="110">
        <f t="shared" si="0"/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77400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5">
        <f t="shared" si="1"/>
        <v>77400</v>
      </c>
      <c r="Z25" s="106">
        <f t="shared" si="2"/>
        <v>77400</v>
      </c>
    </row>
    <row r="26" spans="1:26" ht="21">
      <c r="A26" s="98">
        <v>20</v>
      </c>
      <c r="B26" s="107" t="s">
        <v>10</v>
      </c>
      <c r="C26" s="100">
        <v>0</v>
      </c>
      <c r="D26" s="100">
        <v>0</v>
      </c>
      <c r="E26" s="100">
        <v>0</v>
      </c>
      <c r="F26" s="110">
        <f t="shared" si="0"/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24750</v>
      </c>
      <c r="R26" s="100">
        <v>0</v>
      </c>
      <c r="S26" s="100">
        <v>0</v>
      </c>
      <c r="T26" s="100">
        <v>0</v>
      </c>
      <c r="U26" s="100">
        <v>93063.63</v>
      </c>
      <c r="V26" s="100">
        <v>0</v>
      </c>
      <c r="W26" s="100">
        <v>1141</v>
      </c>
      <c r="X26" s="100">
        <f>3000+12500</f>
        <v>15500</v>
      </c>
      <c r="Y26" s="105">
        <f t="shared" si="1"/>
        <v>134454.63</v>
      </c>
      <c r="Z26" s="106">
        <f t="shared" si="2"/>
        <v>134454.63</v>
      </c>
    </row>
    <row r="27" spans="1:26" ht="21">
      <c r="A27" s="98">
        <v>21</v>
      </c>
      <c r="B27" s="99" t="s">
        <v>12</v>
      </c>
      <c r="C27" s="100">
        <v>0</v>
      </c>
      <c r="D27" s="100">
        <v>0</v>
      </c>
      <c r="E27" s="100">
        <v>0</v>
      </c>
      <c r="F27" s="110">
        <f t="shared" si="0"/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43000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5">
        <f t="shared" si="1"/>
        <v>43000</v>
      </c>
      <c r="Z27" s="106">
        <f t="shared" si="2"/>
        <v>43000</v>
      </c>
    </row>
    <row r="28" spans="1:26" ht="21">
      <c r="A28" s="98">
        <v>22</v>
      </c>
      <c r="B28" s="107" t="s">
        <v>25</v>
      </c>
      <c r="C28" s="100">
        <v>0</v>
      </c>
      <c r="D28" s="100">
        <v>0</v>
      </c>
      <c r="E28" s="100">
        <v>0</v>
      </c>
      <c r="F28" s="110">
        <f t="shared" si="0"/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-424021.15</v>
      </c>
      <c r="W28" s="100">
        <v>0</v>
      </c>
      <c r="X28" s="100">
        <v>0</v>
      </c>
      <c r="Y28" s="105">
        <f t="shared" si="1"/>
        <v>-424021.15</v>
      </c>
      <c r="Z28" s="106">
        <f t="shared" si="2"/>
        <v>-424021.15</v>
      </c>
    </row>
    <row r="29" spans="1:26" ht="21">
      <c r="A29" s="98">
        <v>23</v>
      </c>
      <c r="B29" s="107" t="s">
        <v>26</v>
      </c>
      <c r="C29" s="100">
        <v>0</v>
      </c>
      <c r="D29" s="100">
        <v>0</v>
      </c>
      <c r="E29" s="100">
        <v>0</v>
      </c>
      <c r="F29" s="110">
        <f t="shared" si="0"/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378386.96</v>
      </c>
      <c r="W29" s="100">
        <v>0</v>
      </c>
      <c r="X29" s="100">
        <v>0</v>
      </c>
      <c r="Y29" s="105">
        <f t="shared" si="1"/>
        <v>378386.96</v>
      </c>
      <c r="Z29" s="106">
        <f t="shared" si="2"/>
        <v>378386.96</v>
      </c>
    </row>
    <row r="30" spans="1:26" ht="21">
      <c r="A30" s="98">
        <v>24</v>
      </c>
      <c r="B30" s="107" t="s">
        <v>27</v>
      </c>
      <c r="C30" s="100">
        <v>0</v>
      </c>
      <c r="D30" s="100">
        <v>0</v>
      </c>
      <c r="E30" s="100">
        <v>0</v>
      </c>
      <c r="F30" s="110">
        <f t="shared" si="0"/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1113006.27</v>
      </c>
      <c r="W30" s="100">
        <v>0</v>
      </c>
      <c r="X30" s="100">
        <v>0</v>
      </c>
      <c r="Y30" s="105">
        <f t="shared" si="1"/>
        <v>1113006.27</v>
      </c>
      <c r="Z30" s="106">
        <f t="shared" si="2"/>
        <v>1113006.27</v>
      </c>
    </row>
    <row r="31" spans="1:26" ht="21">
      <c r="A31" s="98">
        <v>25</v>
      </c>
      <c r="B31" s="99" t="s">
        <v>28</v>
      </c>
      <c r="C31" s="100">
        <v>0</v>
      </c>
      <c r="D31" s="100">
        <v>0</v>
      </c>
      <c r="E31" s="100">
        <v>0</v>
      </c>
      <c r="F31" s="110">
        <f t="shared" si="0"/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612200</v>
      </c>
      <c r="R31" s="100">
        <v>0</v>
      </c>
      <c r="S31" s="100">
        <v>0</v>
      </c>
      <c r="T31" s="100">
        <v>559621.25</v>
      </c>
      <c r="U31" s="100">
        <v>0</v>
      </c>
      <c r="V31" s="100">
        <v>6902522.78</v>
      </c>
      <c r="W31" s="100">
        <v>0</v>
      </c>
      <c r="X31" s="100">
        <v>0</v>
      </c>
      <c r="Y31" s="105">
        <f t="shared" si="1"/>
        <v>8074344.03</v>
      </c>
      <c r="Z31" s="106">
        <f t="shared" si="2"/>
        <v>8074344.03</v>
      </c>
    </row>
    <row r="32" spans="1:26" ht="21">
      <c r="A32" s="98">
        <v>26</v>
      </c>
      <c r="B32" s="107" t="s">
        <v>18</v>
      </c>
      <c r="C32" s="100">
        <v>0</v>
      </c>
      <c r="D32" s="100">
        <v>0</v>
      </c>
      <c r="E32" s="100">
        <v>0</v>
      </c>
      <c r="F32" s="110">
        <f t="shared" si="0"/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1006400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5">
        <f t="shared" si="1"/>
        <v>1006400</v>
      </c>
      <c r="Z32" s="106">
        <f t="shared" si="2"/>
        <v>1006400</v>
      </c>
    </row>
    <row r="33" spans="1:26" ht="21">
      <c r="A33" s="98">
        <v>27</v>
      </c>
      <c r="B33" s="107" t="s">
        <v>19</v>
      </c>
      <c r="C33" s="100">
        <v>0</v>
      </c>
      <c r="D33" s="100">
        <v>0</v>
      </c>
      <c r="E33" s="100">
        <v>0</v>
      </c>
      <c r="F33" s="110">
        <f t="shared" si="0"/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5">
        <f t="shared" si="1"/>
        <v>0</v>
      </c>
      <c r="Z33" s="106">
        <f t="shared" si="2"/>
        <v>0</v>
      </c>
    </row>
    <row r="34" spans="1:26" ht="21">
      <c r="A34" s="98">
        <v>28</v>
      </c>
      <c r="B34" s="107" t="s">
        <v>20</v>
      </c>
      <c r="C34" s="100">
        <v>0</v>
      </c>
      <c r="D34" s="100">
        <v>0</v>
      </c>
      <c r="E34" s="100">
        <v>0</v>
      </c>
      <c r="F34" s="110">
        <f t="shared" si="0"/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f>500000</f>
        <v>500000</v>
      </c>
      <c r="X34" s="100">
        <f>1033700+1883119.75</f>
        <v>2916819.75</v>
      </c>
      <c r="Y34" s="105">
        <f t="shared" si="1"/>
        <v>3416819.75</v>
      </c>
      <c r="Z34" s="106">
        <f t="shared" si="2"/>
        <v>3416819.75</v>
      </c>
    </row>
    <row r="35" spans="1:26" ht="21">
      <c r="A35" s="98">
        <v>29</v>
      </c>
      <c r="B35" s="107" t="s">
        <v>21</v>
      </c>
      <c r="C35" s="100">
        <v>0</v>
      </c>
      <c r="D35" s="100">
        <v>0</v>
      </c>
      <c r="E35" s="100">
        <v>0</v>
      </c>
      <c r="F35" s="110">
        <f t="shared" si="0"/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f>972510</f>
        <v>972510</v>
      </c>
      <c r="Y35" s="105">
        <f t="shared" si="1"/>
        <v>972510</v>
      </c>
      <c r="Z35" s="106">
        <f t="shared" si="2"/>
        <v>972510</v>
      </c>
    </row>
    <row r="36" spans="1:26" ht="21">
      <c r="A36" s="98">
        <v>30</v>
      </c>
      <c r="B36" s="107" t="s">
        <v>49</v>
      </c>
      <c r="C36" s="100">
        <v>0</v>
      </c>
      <c r="D36" s="100">
        <v>0</v>
      </c>
      <c r="E36" s="100">
        <v>0</v>
      </c>
      <c r="F36" s="110">
        <f>SUM(C36:E36)</f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10321608.93</v>
      </c>
      <c r="X36" s="100">
        <f>6184202.63</f>
        <v>6184202.63</v>
      </c>
      <c r="Y36" s="105">
        <f t="shared" si="1"/>
        <v>16505811.559999999</v>
      </c>
      <c r="Z36" s="106">
        <f t="shared" si="2"/>
        <v>16505811.559999999</v>
      </c>
    </row>
    <row r="37" spans="1:26" ht="21">
      <c r="A37" s="98">
        <v>31</v>
      </c>
      <c r="B37" s="107" t="s">
        <v>22</v>
      </c>
      <c r="C37" s="100">
        <v>0</v>
      </c>
      <c r="D37" s="100">
        <v>0</v>
      </c>
      <c r="E37" s="100">
        <v>0</v>
      </c>
      <c r="F37" s="110">
        <f t="shared" si="0"/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866912.7</v>
      </c>
      <c r="U37" s="100">
        <v>0</v>
      </c>
      <c r="V37" s="100">
        <v>0</v>
      </c>
      <c r="W37" s="100">
        <f>290605.73</f>
        <v>290605.73</v>
      </c>
      <c r="X37" s="100">
        <f>195600</f>
        <v>195600</v>
      </c>
      <c r="Y37" s="105">
        <f t="shared" si="1"/>
        <v>1353118.43</v>
      </c>
      <c r="Z37" s="106">
        <f t="shared" si="2"/>
        <v>1353118.43</v>
      </c>
    </row>
    <row r="38" spans="1:26" ht="21">
      <c r="A38" s="98">
        <v>32</v>
      </c>
      <c r="B38" s="107" t="s">
        <v>23</v>
      </c>
      <c r="C38" s="100">
        <v>0</v>
      </c>
      <c r="D38" s="100">
        <v>0</v>
      </c>
      <c r="E38" s="100">
        <v>0</v>
      </c>
      <c r="F38" s="110">
        <f t="shared" si="0"/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5851237.91</v>
      </c>
      <c r="U38" s="100">
        <v>0</v>
      </c>
      <c r="V38" s="100">
        <v>0</v>
      </c>
      <c r="W38" s="100">
        <f>143802.5</f>
        <v>143802.5</v>
      </c>
      <c r="X38" s="100">
        <v>181427.94</v>
      </c>
      <c r="Y38" s="105">
        <f t="shared" si="1"/>
        <v>6176468.350000001</v>
      </c>
      <c r="Z38" s="106">
        <f t="shared" si="2"/>
        <v>6176468.350000001</v>
      </c>
    </row>
    <row r="39" spans="1:26" ht="21">
      <c r="A39" s="98">
        <v>33</v>
      </c>
      <c r="B39" s="107" t="s">
        <v>24</v>
      </c>
      <c r="C39" s="114">
        <v>0</v>
      </c>
      <c r="D39" s="114">
        <v>0</v>
      </c>
      <c r="E39" s="114">
        <v>0</v>
      </c>
      <c r="F39" s="110">
        <f t="shared" si="0"/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232547.18</v>
      </c>
      <c r="U39" s="100">
        <v>0</v>
      </c>
      <c r="V39" s="100">
        <v>0</v>
      </c>
      <c r="W39" s="100">
        <f>11640.25</f>
        <v>11640.25</v>
      </c>
      <c r="X39" s="100">
        <f>5139759.9</f>
        <v>5139759.9</v>
      </c>
      <c r="Y39" s="105">
        <f t="shared" si="1"/>
        <v>5383947.33</v>
      </c>
      <c r="Z39" s="106">
        <f t="shared" si="2"/>
        <v>5383947.33</v>
      </c>
    </row>
    <row r="40" spans="1:26" ht="21">
      <c r="A40" s="98">
        <v>34</v>
      </c>
      <c r="B40" s="115" t="s">
        <v>50</v>
      </c>
      <c r="C40" s="114">
        <v>0</v>
      </c>
      <c r="D40" s="114">
        <v>0</v>
      </c>
      <c r="E40" s="114">
        <v>0</v>
      </c>
      <c r="F40" s="110">
        <f>SUM(C40:E40)</f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5">
        <f t="shared" si="1"/>
        <v>0</v>
      </c>
      <c r="Z40" s="106">
        <f t="shared" si="2"/>
        <v>0</v>
      </c>
    </row>
    <row r="41" spans="1:26" ht="21">
      <c r="A41" s="98" t="s">
        <v>47</v>
      </c>
      <c r="B41" s="115" t="s">
        <v>43</v>
      </c>
      <c r="C41" s="114">
        <v>0</v>
      </c>
      <c r="D41" s="114">
        <v>0</v>
      </c>
      <c r="E41" s="114">
        <v>0</v>
      </c>
      <c r="F41" s="110">
        <f>SUM(C41:E41)</f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897865.72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5">
        <f t="shared" si="1"/>
        <v>897865.72</v>
      </c>
      <c r="Z41" s="106">
        <f t="shared" si="2"/>
        <v>897865.72</v>
      </c>
    </row>
    <row r="42" spans="1:26" s="111" customFormat="1" ht="23.25">
      <c r="A42" s="109" t="s">
        <v>40</v>
      </c>
      <c r="B42" s="115" t="s">
        <v>39</v>
      </c>
      <c r="C42" s="116"/>
      <c r="D42" s="127">
        <f>SUM(F50-F51)</f>
        <v>15995056</v>
      </c>
      <c r="E42" s="118"/>
      <c r="F42" s="112">
        <f>SUM(C42:E42)</f>
        <v>15995056</v>
      </c>
      <c r="G42" s="108">
        <v>6940820</v>
      </c>
      <c r="H42" s="108">
        <v>5478700</v>
      </c>
      <c r="I42" s="108">
        <f>51036445.21-22723759.12</f>
        <v>28312686.09</v>
      </c>
      <c r="J42" s="108">
        <v>20901079.9</v>
      </c>
      <c r="K42" s="108">
        <v>56186</v>
      </c>
      <c r="L42" s="108">
        <v>7154600</v>
      </c>
      <c r="M42" s="108">
        <v>17943277</v>
      </c>
      <c r="N42" s="108">
        <v>6362254.49</v>
      </c>
      <c r="O42" s="100">
        <v>1919625.5</v>
      </c>
      <c r="P42" s="100">
        <v>340306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5">
        <f t="shared" si="1"/>
        <v>95409534.98</v>
      </c>
      <c r="Z42" s="106">
        <f t="shared" si="2"/>
        <v>111404590.98</v>
      </c>
    </row>
    <row r="43" spans="3:26" s="111" customFormat="1" ht="21.75" thickBot="1">
      <c r="C43" s="88"/>
      <c r="D43" s="88"/>
      <c r="E43" s="88"/>
      <c r="F43" s="119">
        <f>SUM(F7:F42)</f>
        <v>305796656</v>
      </c>
      <c r="G43" s="120">
        <f aca="true" t="shared" si="3" ref="G43:Z43">SUM(G7:G42)</f>
        <v>7196570</v>
      </c>
      <c r="H43" s="120">
        <f t="shared" si="3"/>
        <v>5478700</v>
      </c>
      <c r="I43" s="120">
        <f t="shared" si="3"/>
        <v>28425051.3</v>
      </c>
      <c r="J43" s="120">
        <f t="shared" si="3"/>
        <v>21373859.13</v>
      </c>
      <c r="K43" s="120">
        <f t="shared" si="3"/>
        <v>56186</v>
      </c>
      <c r="L43" s="120">
        <f t="shared" si="3"/>
        <v>7154600</v>
      </c>
      <c r="M43" s="120">
        <f t="shared" si="3"/>
        <v>17943277</v>
      </c>
      <c r="N43" s="120">
        <f t="shared" si="3"/>
        <v>6362254.49</v>
      </c>
      <c r="O43" s="120">
        <f t="shared" si="3"/>
        <v>1919625.5</v>
      </c>
      <c r="P43" s="120">
        <f t="shared" si="3"/>
        <v>340306</v>
      </c>
      <c r="Q43" s="120">
        <f t="shared" si="3"/>
        <v>28406994.12</v>
      </c>
      <c r="R43" s="120">
        <f t="shared" si="3"/>
        <v>15166594.4</v>
      </c>
      <c r="S43" s="120">
        <f t="shared" si="3"/>
        <v>897865.72</v>
      </c>
      <c r="T43" s="120">
        <f t="shared" si="3"/>
        <v>12247208.18</v>
      </c>
      <c r="U43" s="120">
        <f t="shared" si="3"/>
        <v>831448.95</v>
      </c>
      <c r="V43" s="120">
        <f t="shared" si="3"/>
        <v>7969894.86</v>
      </c>
      <c r="W43" s="120">
        <f t="shared" si="3"/>
        <v>11959606.97</v>
      </c>
      <c r="X43" s="120">
        <f t="shared" si="3"/>
        <v>71408143.44000001</v>
      </c>
      <c r="Y43" s="120">
        <f t="shared" si="3"/>
        <v>245138186.06</v>
      </c>
      <c r="Z43" s="120">
        <f t="shared" si="3"/>
        <v>550934842.06</v>
      </c>
    </row>
    <row r="44" spans="3:26" ht="21.75" thickTop="1">
      <c r="C44" s="88"/>
      <c r="D44" s="88"/>
      <c r="E44" s="88"/>
      <c r="F44" s="89"/>
      <c r="Z44" s="89"/>
    </row>
    <row r="45" spans="3:26" ht="21">
      <c r="C45" s="88"/>
      <c r="D45" s="88"/>
      <c r="E45" s="88"/>
      <c r="F45" s="89"/>
      <c r="Z45" s="89"/>
    </row>
    <row r="46" spans="2:26" ht="21">
      <c r="B46" s="86" t="s">
        <v>85</v>
      </c>
      <c r="C46" s="123"/>
      <c r="D46" s="123"/>
      <c r="E46" s="123"/>
      <c r="F46" s="128"/>
      <c r="Z46" s="128"/>
    </row>
    <row r="47" ht="21"/>
    <row r="49" ht="21">
      <c r="F49" s="89"/>
    </row>
    <row r="50" spans="4:26" ht="21">
      <c r="D50" s="86" t="s">
        <v>86</v>
      </c>
      <c r="F50" s="89">
        <v>305796656</v>
      </c>
      <c r="Z50" s="89">
        <v>407329093.42</v>
      </c>
    </row>
    <row r="51" spans="6:26" ht="21">
      <c r="F51" s="89">
        <f>SUM(F7:F39)</f>
        <v>289801600</v>
      </c>
      <c r="Z51" s="89">
        <f>SUM(Z43-Z50)</f>
        <v>143605748.63999993</v>
      </c>
    </row>
    <row r="52" ht="21">
      <c r="F52" s="89">
        <f>SUM(F43-F50)</f>
        <v>0</v>
      </c>
    </row>
    <row r="53" ht="21">
      <c r="F53" s="89"/>
    </row>
    <row r="54" ht="21">
      <c r="F54" s="89"/>
    </row>
  </sheetData>
  <sheetProtection/>
  <mergeCells count="8">
    <mergeCell ref="A1:Z1"/>
    <mergeCell ref="A2:Z2"/>
    <mergeCell ref="A3:Z3"/>
    <mergeCell ref="A5:A6"/>
    <mergeCell ref="B5:B6"/>
    <mergeCell ref="C5:F5"/>
    <mergeCell ref="G5:Y5"/>
    <mergeCell ref="Z5:Z6"/>
  </mergeCells>
  <printOptions/>
  <pageMargins left="0.27" right="0.19" top="0.75" bottom="0.75" header="0.3" footer="0.3"/>
  <pageSetup horizontalDpi="600" verticalDpi="600" orientation="landscape" paperSize="9" scale="3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Z51"/>
  <sheetViews>
    <sheetView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Z3"/>
    </sheetView>
  </sheetViews>
  <sheetFormatPr defaultColWidth="9.140625" defaultRowHeight="15"/>
  <cols>
    <col min="1" max="1" width="2.8515625" style="86" bestFit="1" customWidth="1"/>
    <col min="2" max="2" width="32.8515625" style="86" customWidth="1"/>
    <col min="3" max="3" width="13.28125" style="88" customWidth="1"/>
    <col min="4" max="5" width="13.421875" style="88" customWidth="1"/>
    <col min="6" max="6" width="14.8515625" style="89" bestFit="1" customWidth="1"/>
    <col min="7" max="8" width="11.421875" style="86" bestFit="1" customWidth="1"/>
    <col min="9" max="10" width="12.421875" style="86" bestFit="1" customWidth="1"/>
    <col min="11" max="11" width="10.140625" style="86" bestFit="1" customWidth="1"/>
    <col min="12" max="12" width="11.421875" style="86" bestFit="1" customWidth="1"/>
    <col min="13" max="13" width="12.421875" style="86" bestFit="1" customWidth="1"/>
    <col min="14" max="15" width="11.421875" style="86" bestFit="1" customWidth="1"/>
    <col min="16" max="16" width="10.140625" style="86" bestFit="1" customWidth="1"/>
    <col min="17" max="18" width="12.421875" style="86" bestFit="1" customWidth="1"/>
    <col min="19" max="20" width="11.421875" style="86" bestFit="1" customWidth="1"/>
    <col min="21" max="21" width="10.140625" style="86" bestFit="1" customWidth="1"/>
    <col min="22" max="22" width="11.421875" style="86" bestFit="1" customWidth="1"/>
    <col min="23" max="23" width="11.421875" style="86" customWidth="1"/>
    <col min="24" max="24" width="12.421875" style="86" bestFit="1" customWidth="1"/>
    <col min="25" max="25" width="13.421875" style="87" bestFit="1" customWidth="1"/>
    <col min="26" max="26" width="14.140625" style="86" customWidth="1"/>
    <col min="27" max="16384" width="9.00390625" style="86" customWidth="1"/>
  </cols>
  <sheetData>
    <row r="1" spans="1:26" ht="24">
      <c r="A1" s="215" t="s">
        <v>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26" ht="24">
      <c r="A2" s="215" t="s">
        <v>105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ht="24">
      <c r="A3" s="216" t="s">
        <v>48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ht="21">
      <c r="A4" s="87"/>
    </row>
    <row r="5" spans="1:26" ht="22.5" customHeight="1">
      <c r="A5" s="231" t="s">
        <v>38</v>
      </c>
      <c r="B5" s="231" t="s">
        <v>45</v>
      </c>
      <c r="C5" s="233" t="s">
        <v>57</v>
      </c>
      <c r="D5" s="234"/>
      <c r="E5" s="234"/>
      <c r="F5" s="235"/>
      <c r="G5" s="236" t="s">
        <v>56</v>
      </c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7" t="s">
        <v>71</v>
      </c>
    </row>
    <row r="6" spans="1:26" ht="84" customHeight="1">
      <c r="A6" s="232"/>
      <c r="B6" s="232"/>
      <c r="C6" s="91" t="s">
        <v>72</v>
      </c>
      <c r="D6" s="91" t="s">
        <v>73</v>
      </c>
      <c r="E6" s="90" t="s">
        <v>74</v>
      </c>
      <c r="F6" s="162" t="s">
        <v>90</v>
      </c>
      <c r="G6" s="92" t="s">
        <v>75</v>
      </c>
      <c r="H6" s="92" t="s">
        <v>76</v>
      </c>
      <c r="I6" s="92" t="s">
        <v>77</v>
      </c>
      <c r="J6" s="92" t="s">
        <v>78</v>
      </c>
      <c r="K6" s="92" t="s">
        <v>41</v>
      </c>
      <c r="L6" s="92" t="s">
        <v>79</v>
      </c>
      <c r="M6" s="92" t="s">
        <v>80</v>
      </c>
      <c r="N6" s="92" t="s">
        <v>81</v>
      </c>
      <c r="O6" s="93" t="s">
        <v>82</v>
      </c>
      <c r="P6" s="93" t="s">
        <v>83</v>
      </c>
      <c r="Q6" s="94" t="s">
        <v>29</v>
      </c>
      <c r="R6" s="95" t="s">
        <v>31</v>
      </c>
      <c r="S6" s="95" t="s">
        <v>30</v>
      </c>
      <c r="T6" s="95" t="s">
        <v>32</v>
      </c>
      <c r="U6" s="95" t="s">
        <v>33</v>
      </c>
      <c r="V6" s="95" t="s">
        <v>34</v>
      </c>
      <c r="W6" s="96" t="s">
        <v>41</v>
      </c>
      <c r="X6" s="96" t="s">
        <v>46</v>
      </c>
      <c r="Y6" s="97" t="s">
        <v>84</v>
      </c>
      <c r="Z6" s="238"/>
    </row>
    <row r="7" spans="1:26" ht="21.75">
      <c r="A7" s="98">
        <v>1</v>
      </c>
      <c r="B7" s="99" t="s">
        <v>6</v>
      </c>
      <c r="C7" s="100">
        <v>5160450</v>
      </c>
      <c r="D7" s="100">
        <v>4929350</v>
      </c>
      <c r="E7" s="100">
        <v>964425</v>
      </c>
      <c r="F7" s="101">
        <f>SUM(C7:E7)</f>
        <v>11054225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2">
        <v>279200</v>
      </c>
      <c r="R7" s="103">
        <v>0</v>
      </c>
      <c r="S7" s="104">
        <v>0</v>
      </c>
      <c r="T7" s="103">
        <v>0</v>
      </c>
      <c r="U7" s="103">
        <v>2400</v>
      </c>
      <c r="V7" s="103">
        <v>0</v>
      </c>
      <c r="W7" s="6">
        <f>169400</f>
        <v>169400</v>
      </c>
      <c r="X7" s="6">
        <f>2610500</f>
        <v>2610500</v>
      </c>
      <c r="Y7" s="105">
        <f>SUM(G7:X7)</f>
        <v>3061500</v>
      </c>
      <c r="Z7" s="106">
        <f>SUM(F7+Y7)</f>
        <v>14115725</v>
      </c>
    </row>
    <row r="8" spans="1:26" ht="21.75">
      <c r="A8" s="98">
        <v>2</v>
      </c>
      <c r="B8" s="99" t="s">
        <v>1</v>
      </c>
      <c r="C8" s="100">
        <v>16955000</v>
      </c>
      <c r="D8" s="100">
        <v>15653750</v>
      </c>
      <c r="E8" s="100">
        <v>2946250</v>
      </c>
      <c r="F8" s="101">
        <f aca="true" t="shared" si="0" ref="F8:F16">SUM(C8:E8)</f>
        <v>35555000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2">
        <v>1743480</v>
      </c>
      <c r="R8" s="103">
        <v>0</v>
      </c>
      <c r="S8" s="104">
        <v>238</v>
      </c>
      <c r="T8" s="103">
        <v>0</v>
      </c>
      <c r="U8" s="103">
        <v>0</v>
      </c>
      <c r="V8" s="103">
        <v>0</v>
      </c>
      <c r="W8" s="6">
        <v>0</v>
      </c>
      <c r="X8" s="6">
        <v>0</v>
      </c>
      <c r="Y8" s="105">
        <f aca="true" t="shared" si="1" ref="Y8:Y42">SUM(G8:X8)</f>
        <v>1743718</v>
      </c>
      <c r="Z8" s="106">
        <f aca="true" t="shared" si="2" ref="Z8:Z42">SUM(F8+Y8)</f>
        <v>37298718</v>
      </c>
    </row>
    <row r="9" spans="1:26" ht="21.75">
      <c r="A9" s="98">
        <v>3</v>
      </c>
      <c r="B9" s="107" t="s">
        <v>3</v>
      </c>
      <c r="C9" s="108">
        <v>27178750</v>
      </c>
      <c r="D9" s="108">
        <v>26020500</v>
      </c>
      <c r="E9" s="100">
        <v>497750</v>
      </c>
      <c r="F9" s="101">
        <f t="shared" si="0"/>
        <v>53697000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2">
        <v>1292050</v>
      </c>
      <c r="R9" s="103">
        <v>2789900</v>
      </c>
      <c r="S9" s="104">
        <v>21961</v>
      </c>
      <c r="T9" s="103">
        <v>0</v>
      </c>
      <c r="U9" s="103">
        <v>16260</v>
      </c>
      <c r="V9" s="103">
        <v>0</v>
      </c>
      <c r="W9" s="6">
        <v>0</v>
      </c>
      <c r="X9" s="6">
        <f>93800</f>
        <v>93800</v>
      </c>
      <c r="Y9" s="105">
        <f t="shared" si="1"/>
        <v>4213971</v>
      </c>
      <c r="Z9" s="106">
        <f t="shared" si="2"/>
        <v>57910971</v>
      </c>
    </row>
    <row r="10" spans="1:26" ht="21.75">
      <c r="A10" s="98">
        <v>4</v>
      </c>
      <c r="B10" s="99" t="s">
        <v>5</v>
      </c>
      <c r="C10" s="100">
        <v>12812000</v>
      </c>
      <c r="D10" s="100">
        <v>12582500</v>
      </c>
      <c r="E10" s="100">
        <v>518750</v>
      </c>
      <c r="F10" s="101">
        <f t="shared" si="0"/>
        <v>25913250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2">
        <v>30260</v>
      </c>
      <c r="R10" s="103">
        <v>60000</v>
      </c>
      <c r="S10" s="104">
        <v>46849</v>
      </c>
      <c r="T10" s="103">
        <v>0</v>
      </c>
      <c r="U10" s="103">
        <v>0</v>
      </c>
      <c r="V10" s="103">
        <v>0</v>
      </c>
      <c r="W10" s="6">
        <v>0</v>
      </c>
      <c r="X10" s="6">
        <f>3000</f>
        <v>3000</v>
      </c>
      <c r="Y10" s="105">
        <f t="shared" si="1"/>
        <v>140109</v>
      </c>
      <c r="Z10" s="106">
        <f t="shared" si="2"/>
        <v>26053359</v>
      </c>
    </row>
    <row r="11" spans="1:26" ht="21.75">
      <c r="A11" s="98">
        <v>5</v>
      </c>
      <c r="B11" s="99" t="s">
        <v>7</v>
      </c>
      <c r="C11" s="100">
        <v>15974750</v>
      </c>
      <c r="D11" s="100">
        <v>15082250</v>
      </c>
      <c r="E11" s="100">
        <v>2019000</v>
      </c>
      <c r="F11" s="101">
        <f t="shared" si="0"/>
        <v>33076000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2">
        <v>1407244</v>
      </c>
      <c r="R11" s="103">
        <v>1360850</v>
      </c>
      <c r="S11" s="104">
        <v>73851</v>
      </c>
      <c r="T11" s="103">
        <v>0</v>
      </c>
      <c r="U11" s="103">
        <v>595572.21</v>
      </c>
      <c r="V11" s="103">
        <v>0</v>
      </c>
      <c r="W11" s="6">
        <v>0</v>
      </c>
      <c r="X11" s="6">
        <f>2352720.89+63727</f>
        <v>2416447.89</v>
      </c>
      <c r="Y11" s="105">
        <f t="shared" si="1"/>
        <v>5853965.1</v>
      </c>
      <c r="Z11" s="106">
        <f t="shared" si="2"/>
        <v>38929965.1</v>
      </c>
    </row>
    <row r="12" spans="1:26" ht="21.75">
      <c r="A12" s="98">
        <v>6</v>
      </c>
      <c r="B12" s="99" t="s">
        <v>35</v>
      </c>
      <c r="C12" s="100">
        <v>0</v>
      </c>
      <c r="D12" s="100">
        <v>150000</v>
      </c>
      <c r="E12" s="100">
        <v>0</v>
      </c>
      <c r="F12" s="101">
        <f t="shared" si="0"/>
        <v>150000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2"/>
      <c r="R12" s="103"/>
      <c r="S12" s="104"/>
      <c r="T12" s="103"/>
      <c r="U12" s="103"/>
      <c r="V12" s="103"/>
      <c r="W12" s="6">
        <v>0</v>
      </c>
      <c r="X12" s="6">
        <v>0</v>
      </c>
      <c r="Y12" s="105">
        <f t="shared" si="1"/>
        <v>0</v>
      </c>
      <c r="Z12" s="106">
        <f t="shared" si="2"/>
        <v>150000</v>
      </c>
    </row>
    <row r="13" spans="1:26" ht="21.75">
      <c r="A13" s="98">
        <v>7</v>
      </c>
      <c r="B13" s="107" t="s">
        <v>2</v>
      </c>
      <c r="C13" s="100">
        <v>6211500</v>
      </c>
      <c r="D13" s="100">
        <v>5874000</v>
      </c>
      <c r="E13" s="100">
        <v>492000</v>
      </c>
      <c r="F13" s="101">
        <f t="shared" si="0"/>
        <v>12577500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2">
        <v>204950</v>
      </c>
      <c r="R13" s="103">
        <v>0</v>
      </c>
      <c r="S13" s="104">
        <v>0</v>
      </c>
      <c r="T13" s="103">
        <v>0</v>
      </c>
      <c r="U13" s="103">
        <v>0</v>
      </c>
      <c r="V13" s="103">
        <v>0</v>
      </c>
      <c r="W13" s="6">
        <f>9670</f>
        <v>9670</v>
      </c>
      <c r="X13" s="6">
        <f>893000</f>
        <v>893000</v>
      </c>
      <c r="Y13" s="105">
        <f t="shared" si="1"/>
        <v>1107620</v>
      </c>
      <c r="Z13" s="106">
        <f t="shared" si="2"/>
        <v>13685120</v>
      </c>
    </row>
    <row r="14" spans="1:26" s="111" customFormat="1" ht="21.75">
      <c r="A14" s="109">
        <v>8</v>
      </c>
      <c r="B14" s="99" t="s">
        <v>0</v>
      </c>
      <c r="C14" s="100">
        <v>37721750</v>
      </c>
      <c r="D14" s="100">
        <v>34794500</v>
      </c>
      <c r="E14" s="100">
        <v>2549500</v>
      </c>
      <c r="F14" s="110">
        <f t="shared" si="0"/>
        <v>75065750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2">
        <v>5963610</v>
      </c>
      <c r="R14" s="103">
        <v>4871250</v>
      </c>
      <c r="S14" s="104">
        <v>0</v>
      </c>
      <c r="T14" s="103">
        <v>0</v>
      </c>
      <c r="U14" s="103">
        <v>0</v>
      </c>
      <c r="V14" s="103">
        <v>0</v>
      </c>
      <c r="W14" s="6">
        <f>44.73</f>
        <v>44.73</v>
      </c>
      <c r="X14" s="6">
        <f>2903662.5+6445204</f>
        <v>9348866.5</v>
      </c>
      <c r="Y14" s="105">
        <f t="shared" si="1"/>
        <v>20183771.23</v>
      </c>
      <c r="Z14" s="106">
        <f t="shared" si="2"/>
        <v>95249521.23</v>
      </c>
    </row>
    <row r="15" spans="1:26" s="111" customFormat="1" ht="21.75">
      <c r="A15" s="109">
        <v>9</v>
      </c>
      <c r="B15" s="107" t="s">
        <v>4</v>
      </c>
      <c r="C15" s="108">
        <v>25399750</v>
      </c>
      <c r="D15" s="108">
        <v>24506750</v>
      </c>
      <c r="E15" s="100">
        <v>4236500</v>
      </c>
      <c r="F15" s="110">
        <f t="shared" si="0"/>
        <v>54143000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2">
        <v>559500</v>
      </c>
      <c r="R15" s="103">
        <v>2940500</v>
      </c>
      <c r="S15" s="104">
        <v>88070</v>
      </c>
      <c r="T15" s="103">
        <v>0</v>
      </c>
      <c r="U15" s="103">
        <v>0</v>
      </c>
      <c r="V15" s="103">
        <v>0</v>
      </c>
      <c r="W15" s="6">
        <f>1449.88</f>
        <v>1449.88</v>
      </c>
      <c r="X15" s="6">
        <f>175099.75</f>
        <v>175099.75</v>
      </c>
      <c r="Y15" s="105">
        <f t="shared" si="1"/>
        <v>3764619.63</v>
      </c>
      <c r="Z15" s="106">
        <f t="shared" si="2"/>
        <v>57907619.63</v>
      </c>
    </row>
    <row r="16" spans="1:26" s="111" customFormat="1" ht="21.75">
      <c r="A16" s="109">
        <v>10</v>
      </c>
      <c r="B16" s="107" t="s">
        <v>36</v>
      </c>
      <c r="C16" s="100">
        <v>0</v>
      </c>
      <c r="D16" s="100">
        <v>0</v>
      </c>
      <c r="E16" s="100">
        <v>0</v>
      </c>
      <c r="F16" s="110">
        <f t="shared" si="0"/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2"/>
      <c r="R16" s="103"/>
      <c r="S16" s="104"/>
      <c r="T16" s="103"/>
      <c r="U16" s="103"/>
      <c r="V16" s="103"/>
      <c r="W16" s="6">
        <v>0</v>
      </c>
      <c r="X16" s="6">
        <v>0</v>
      </c>
      <c r="Y16" s="105">
        <f t="shared" si="1"/>
        <v>0</v>
      </c>
      <c r="Z16" s="106">
        <f t="shared" si="2"/>
        <v>0</v>
      </c>
    </row>
    <row r="17" spans="1:26" s="111" customFormat="1" ht="21.75">
      <c r="A17" s="109">
        <v>11</v>
      </c>
      <c r="B17" s="107" t="s">
        <v>8</v>
      </c>
      <c r="C17" s="100">
        <v>0</v>
      </c>
      <c r="D17" s="100">
        <v>0</v>
      </c>
      <c r="E17" s="100">
        <v>0</v>
      </c>
      <c r="F17" s="112">
        <v>13447220</v>
      </c>
      <c r="G17" s="108">
        <v>2350871</v>
      </c>
      <c r="H17" s="108">
        <v>113700</v>
      </c>
      <c r="I17" s="108">
        <f>5950198.01-5892435</f>
        <v>57763.00999999978</v>
      </c>
      <c r="J17" s="108">
        <v>544656.31</v>
      </c>
      <c r="K17" s="108">
        <v>0</v>
      </c>
      <c r="L17" s="108">
        <v>0</v>
      </c>
      <c r="M17" s="108">
        <v>0</v>
      </c>
      <c r="N17" s="108">
        <v>21000</v>
      </c>
      <c r="O17" s="108">
        <v>0</v>
      </c>
      <c r="P17" s="108">
        <v>0</v>
      </c>
      <c r="Q17" s="102">
        <v>5892435</v>
      </c>
      <c r="R17" s="103">
        <v>0</v>
      </c>
      <c r="S17" s="104">
        <v>0</v>
      </c>
      <c r="T17" s="103">
        <v>0</v>
      </c>
      <c r="U17" s="103">
        <v>0</v>
      </c>
      <c r="V17" s="103">
        <v>0</v>
      </c>
      <c r="W17" s="6">
        <v>0</v>
      </c>
      <c r="X17" s="6">
        <v>0</v>
      </c>
      <c r="Y17" s="105">
        <f t="shared" si="1"/>
        <v>8980425.32</v>
      </c>
      <c r="Z17" s="106">
        <f t="shared" si="2"/>
        <v>22427645.32</v>
      </c>
    </row>
    <row r="18" spans="1:26" s="111" customFormat="1" ht="21.75">
      <c r="A18" s="109">
        <v>12</v>
      </c>
      <c r="B18" s="107" t="s">
        <v>37</v>
      </c>
      <c r="C18" s="100">
        <v>0</v>
      </c>
      <c r="D18" s="100">
        <v>0</v>
      </c>
      <c r="E18" s="100">
        <v>0</v>
      </c>
      <c r="F18" s="112">
        <f>SUM(C18:E18)</f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2"/>
      <c r="R18" s="103"/>
      <c r="S18" s="104"/>
      <c r="T18" s="103"/>
      <c r="U18" s="103"/>
      <c r="V18" s="103"/>
      <c r="W18" s="6">
        <v>0</v>
      </c>
      <c r="X18" s="6">
        <v>0</v>
      </c>
      <c r="Y18" s="105">
        <f t="shared" si="1"/>
        <v>0</v>
      </c>
      <c r="Z18" s="106">
        <f t="shared" si="2"/>
        <v>0</v>
      </c>
    </row>
    <row r="19" spans="1:26" s="111" customFormat="1" ht="21.75">
      <c r="A19" s="109">
        <v>13</v>
      </c>
      <c r="B19" s="107" t="s">
        <v>9</v>
      </c>
      <c r="C19" s="108">
        <v>600000</v>
      </c>
      <c r="D19" s="108">
        <v>0</v>
      </c>
      <c r="E19" s="100">
        <v>0</v>
      </c>
      <c r="F19" s="112">
        <f aca="true" t="shared" si="3" ref="F19:F42">SUM(C19:E19)</f>
        <v>600000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2">
        <v>0</v>
      </c>
      <c r="R19" s="103">
        <v>0</v>
      </c>
      <c r="S19" s="104">
        <v>0</v>
      </c>
      <c r="T19" s="103">
        <v>0</v>
      </c>
      <c r="U19" s="103">
        <v>0</v>
      </c>
      <c r="V19" s="103">
        <v>0</v>
      </c>
      <c r="W19" s="6">
        <v>0</v>
      </c>
      <c r="X19" s="6">
        <v>0</v>
      </c>
      <c r="Y19" s="105">
        <f t="shared" si="1"/>
        <v>0</v>
      </c>
      <c r="Z19" s="106">
        <f t="shared" si="2"/>
        <v>600000</v>
      </c>
    </row>
    <row r="20" spans="1:26" s="111" customFormat="1" ht="21.75">
      <c r="A20" s="109">
        <v>14</v>
      </c>
      <c r="B20" s="99" t="s">
        <v>16</v>
      </c>
      <c r="C20" s="100">
        <v>0</v>
      </c>
      <c r="D20" s="100">
        <v>0</v>
      </c>
      <c r="E20" s="100">
        <v>0</v>
      </c>
      <c r="F20" s="112">
        <f t="shared" si="3"/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2">
        <v>545300</v>
      </c>
      <c r="R20" s="103">
        <v>0</v>
      </c>
      <c r="S20" s="104">
        <v>0</v>
      </c>
      <c r="T20" s="103">
        <v>0</v>
      </c>
      <c r="U20" s="103">
        <v>0</v>
      </c>
      <c r="V20" s="103">
        <v>0</v>
      </c>
      <c r="W20" s="6">
        <v>88.73</v>
      </c>
      <c r="X20" s="6">
        <v>0</v>
      </c>
      <c r="Y20" s="105">
        <f t="shared" si="1"/>
        <v>545388.73</v>
      </c>
      <c r="Z20" s="106">
        <f t="shared" si="2"/>
        <v>545388.73</v>
      </c>
    </row>
    <row r="21" spans="1:26" s="111" customFormat="1" ht="21.75">
      <c r="A21" s="109">
        <v>15</v>
      </c>
      <c r="B21" s="107" t="s">
        <v>14</v>
      </c>
      <c r="C21" s="100">
        <v>0</v>
      </c>
      <c r="D21" s="100">
        <v>0</v>
      </c>
      <c r="E21" s="100">
        <v>0</v>
      </c>
      <c r="F21" s="112">
        <f t="shared" si="3"/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2">
        <v>0</v>
      </c>
      <c r="R21" s="103">
        <v>0</v>
      </c>
      <c r="S21" s="104">
        <v>0</v>
      </c>
      <c r="T21" s="103">
        <v>1145996.49</v>
      </c>
      <c r="U21" s="103">
        <v>0</v>
      </c>
      <c r="V21" s="103">
        <v>0</v>
      </c>
      <c r="W21" s="6">
        <v>336816</v>
      </c>
      <c r="X21" s="6">
        <f>25700</f>
        <v>25700</v>
      </c>
      <c r="Y21" s="105">
        <f t="shared" si="1"/>
        <v>1508512.49</v>
      </c>
      <c r="Z21" s="106">
        <f t="shared" si="2"/>
        <v>1508512.49</v>
      </c>
    </row>
    <row r="22" spans="1:26" s="111" customFormat="1" ht="21.75">
      <c r="A22" s="109">
        <v>16</v>
      </c>
      <c r="B22" s="107" t="s">
        <v>15</v>
      </c>
      <c r="C22" s="100">
        <v>0</v>
      </c>
      <c r="D22" s="100">
        <v>0</v>
      </c>
      <c r="E22" s="100">
        <v>0</v>
      </c>
      <c r="F22" s="112">
        <f t="shared" si="3"/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2">
        <v>572500</v>
      </c>
      <c r="R22" s="103">
        <v>0</v>
      </c>
      <c r="S22" s="104">
        <v>0</v>
      </c>
      <c r="T22" s="103">
        <v>0</v>
      </c>
      <c r="U22" s="103">
        <v>0</v>
      </c>
      <c r="V22" s="103">
        <v>0</v>
      </c>
      <c r="W22" s="6">
        <v>0</v>
      </c>
      <c r="X22" s="6">
        <f>789021</f>
        <v>789021</v>
      </c>
      <c r="Y22" s="105">
        <f t="shared" si="1"/>
        <v>1361521</v>
      </c>
      <c r="Z22" s="106">
        <f t="shared" si="2"/>
        <v>1361521</v>
      </c>
    </row>
    <row r="23" spans="1:26" s="111" customFormat="1" ht="21.75">
      <c r="A23" s="109">
        <v>17</v>
      </c>
      <c r="B23" s="99" t="s">
        <v>17</v>
      </c>
      <c r="C23" s="100">
        <v>0</v>
      </c>
      <c r="D23" s="100">
        <v>0</v>
      </c>
      <c r="E23" s="100">
        <v>0</v>
      </c>
      <c r="F23" s="112">
        <f t="shared" si="3"/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2">
        <v>0</v>
      </c>
      <c r="R23" s="103">
        <v>133000</v>
      </c>
      <c r="S23" s="104">
        <v>0</v>
      </c>
      <c r="T23" s="103">
        <v>0</v>
      </c>
      <c r="U23" s="103">
        <v>0</v>
      </c>
      <c r="V23" s="103">
        <v>0</v>
      </c>
      <c r="W23" s="6">
        <v>0</v>
      </c>
      <c r="X23" s="6">
        <v>66500</v>
      </c>
      <c r="Y23" s="105">
        <f t="shared" si="1"/>
        <v>199500</v>
      </c>
      <c r="Z23" s="106">
        <f t="shared" si="2"/>
        <v>199500</v>
      </c>
    </row>
    <row r="24" spans="1:26" s="111" customFormat="1" ht="21.75">
      <c r="A24" s="109">
        <v>18</v>
      </c>
      <c r="B24" s="107" t="s">
        <v>11</v>
      </c>
      <c r="C24" s="100">
        <v>0</v>
      </c>
      <c r="D24" s="100">
        <v>0</v>
      </c>
      <c r="E24" s="100">
        <v>0</v>
      </c>
      <c r="F24" s="112">
        <f t="shared" si="3"/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2">
        <v>223210.5</v>
      </c>
      <c r="R24" s="103">
        <v>0</v>
      </c>
      <c r="S24" s="104">
        <v>0</v>
      </c>
      <c r="T24" s="103">
        <v>0</v>
      </c>
      <c r="U24" s="103">
        <v>0</v>
      </c>
      <c r="V24" s="103">
        <v>0</v>
      </c>
      <c r="W24" s="6">
        <v>0</v>
      </c>
      <c r="X24" s="6">
        <v>0</v>
      </c>
      <c r="Y24" s="105">
        <f t="shared" si="1"/>
        <v>223210.5</v>
      </c>
      <c r="Z24" s="106">
        <f t="shared" si="2"/>
        <v>223210.5</v>
      </c>
    </row>
    <row r="25" spans="1:26" s="111" customFormat="1" ht="21.75">
      <c r="A25" s="109">
        <v>19</v>
      </c>
      <c r="B25" s="107" t="s">
        <v>13</v>
      </c>
      <c r="C25" s="100">
        <v>0</v>
      </c>
      <c r="D25" s="100">
        <v>0</v>
      </c>
      <c r="E25" s="100">
        <v>0</v>
      </c>
      <c r="F25" s="112">
        <f t="shared" si="3"/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2">
        <v>70150</v>
      </c>
      <c r="R25" s="103">
        <v>0</v>
      </c>
      <c r="S25" s="104">
        <v>0</v>
      </c>
      <c r="T25" s="103">
        <v>0</v>
      </c>
      <c r="U25" s="103">
        <v>0</v>
      </c>
      <c r="V25" s="103">
        <v>0</v>
      </c>
      <c r="W25" s="6">
        <v>0</v>
      </c>
      <c r="X25" s="6">
        <v>0</v>
      </c>
      <c r="Y25" s="105">
        <f t="shared" si="1"/>
        <v>70150</v>
      </c>
      <c r="Z25" s="106">
        <f t="shared" si="2"/>
        <v>70150</v>
      </c>
    </row>
    <row r="26" spans="1:26" s="111" customFormat="1" ht="21.75">
      <c r="A26" s="109">
        <v>20</v>
      </c>
      <c r="B26" s="107" t="s">
        <v>10</v>
      </c>
      <c r="C26" s="100">
        <v>0</v>
      </c>
      <c r="D26" s="100">
        <v>0</v>
      </c>
      <c r="E26" s="100">
        <v>0</v>
      </c>
      <c r="F26" s="112">
        <f t="shared" si="3"/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2">
        <v>29050</v>
      </c>
      <c r="R26" s="103">
        <v>0</v>
      </c>
      <c r="S26" s="104">
        <v>0</v>
      </c>
      <c r="T26" s="103">
        <v>0</v>
      </c>
      <c r="U26" s="103">
        <v>0</v>
      </c>
      <c r="V26" s="103">
        <v>0</v>
      </c>
      <c r="W26" s="6">
        <f>42260.36</f>
        <v>42260.36</v>
      </c>
      <c r="X26" s="6">
        <f>4000+32500</f>
        <v>36500</v>
      </c>
      <c r="Y26" s="105">
        <f t="shared" si="1"/>
        <v>107810.36</v>
      </c>
      <c r="Z26" s="106">
        <f t="shared" si="2"/>
        <v>107810.36</v>
      </c>
    </row>
    <row r="27" spans="1:26" s="111" customFormat="1" ht="21.75">
      <c r="A27" s="109">
        <v>21</v>
      </c>
      <c r="B27" s="99" t="s">
        <v>12</v>
      </c>
      <c r="C27" s="100">
        <v>0</v>
      </c>
      <c r="D27" s="100">
        <v>0</v>
      </c>
      <c r="E27" s="100">
        <v>0</v>
      </c>
      <c r="F27" s="112">
        <f t="shared" si="3"/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2">
        <v>18500</v>
      </c>
      <c r="R27" s="103">
        <v>0</v>
      </c>
      <c r="S27" s="104">
        <v>0</v>
      </c>
      <c r="T27" s="103">
        <v>0</v>
      </c>
      <c r="U27" s="103">
        <v>0</v>
      </c>
      <c r="V27" s="103">
        <v>0</v>
      </c>
      <c r="W27" s="6">
        <v>0</v>
      </c>
      <c r="X27" s="6">
        <v>0</v>
      </c>
      <c r="Y27" s="105">
        <f t="shared" si="1"/>
        <v>18500</v>
      </c>
      <c r="Z27" s="106">
        <f t="shared" si="2"/>
        <v>18500</v>
      </c>
    </row>
    <row r="28" spans="1:26" s="111" customFormat="1" ht="21.75">
      <c r="A28" s="109">
        <v>22</v>
      </c>
      <c r="B28" s="107" t="s">
        <v>25</v>
      </c>
      <c r="C28" s="100">
        <v>0</v>
      </c>
      <c r="D28" s="100">
        <v>0</v>
      </c>
      <c r="E28" s="100">
        <v>0</v>
      </c>
      <c r="F28" s="112">
        <f t="shared" si="3"/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6504446.55</v>
      </c>
      <c r="W28" s="6">
        <v>0</v>
      </c>
      <c r="X28" s="6">
        <v>0</v>
      </c>
      <c r="Y28" s="105">
        <f t="shared" si="1"/>
        <v>6504446.55</v>
      </c>
      <c r="Z28" s="106">
        <f t="shared" si="2"/>
        <v>6504446.55</v>
      </c>
    </row>
    <row r="29" spans="1:26" s="111" customFormat="1" ht="21.75">
      <c r="A29" s="109">
        <v>23</v>
      </c>
      <c r="B29" s="107" t="s">
        <v>26</v>
      </c>
      <c r="C29" s="100">
        <v>0</v>
      </c>
      <c r="D29" s="100">
        <v>0</v>
      </c>
      <c r="E29" s="100">
        <v>0</v>
      </c>
      <c r="F29" s="112">
        <f t="shared" si="3"/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403491.92</v>
      </c>
      <c r="W29" s="6">
        <v>0</v>
      </c>
      <c r="X29" s="6">
        <v>0</v>
      </c>
      <c r="Y29" s="105">
        <f t="shared" si="1"/>
        <v>403491.92</v>
      </c>
      <c r="Z29" s="106">
        <f t="shared" si="2"/>
        <v>403491.92</v>
      </c>
    </row>
    <row r="30" spans="1:26" s="111" customFormat="1" ht="21.75">
      <c r="A30" s="109">
        <v>24</v>
      </c>
      <c r="B30" s="107" t="s">
        <v>27</v>
      </c>
      <c r="C30" s="100">
        <v>0</v>
      </c>
      <c r="D30" s="100">
        <v>0</v>
      </c>
      <c r="E30" s="100">
        <v>0</v>
      </c>
      <c r="F30" s="112">
        <f t="shared" si="3"/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1679796.25</v>
      </c>
      <c r="W30" s="6">
        <v>0</v>
      </c>
      <c r="X30" s="6">
        <v>0</v>
      </c>
      <c r="Y30" s="105">
        <f t="shared" si="1"/>
        <v>1679796.25</v>
      </c>
      <c r="Z30" s="106">
        <f t="shared" si="2"/>
        <v>1679796.25</v>
      </c>
    </row>
    <row r="31" spans="1:26" s="111" customFormat="1" ht="21.75">
      <c r="A31" s="109">
        <v>25</v>
      </c>
      <c r="B31" s="99" t="s">
        <v>28</v>
      </c>
      <c r="C31" s="100">
        <v>0</v>
      </c>
      <c r="D31" s="100">
        <v>0</v>
      </c>
      <c r="E31" s="100">
        <v>0</v>
      </c>
      <c r="F31" s="112">
        <f t="shared" si="3"/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13">
        <v>5649630</v>
      </c>
      <c r="R31" s="103">
        <v>0</v>
      </c>
      <c r="S31" s="104">
        <v>0</v>
      </c>
      <c r="T31" s="103">
        <v>0</v>
      </c>
      <c r="U31" s="103">
        <v>0</v>
      </c>
      <c r="V31" s="103">
        <f>5651195.83-5649630</f>
        <v>1565.8300000000745</v>
      </c>
      <c r="W31" s="6">
        <v>0</v>
      </c>
      <c r="X31" s="6">
        <v>973750</v>
      </c>
      <c r="Y31" s="105">
        <f t="shared" si="1"/>
        <v>6624945.83</v>
      </c>
      <c r="Z31" s="106">
        <f t="shared" si="2"/>
        <v>6624945.83</v>
      </c>
    </row>
    <row r="32" spans="1:26" s="111" customFormat="1" ht="21.75">
      <c r="A32" s="109">
        <v>26</v>
      </c>
      <c r="B32" s="107" t="s">
        <v>18</v>
      </c>
      <c r="C32" s="100">
        <v>0</v>
      </c>
      <c r="D32" s="100">
        <v>0</v>
      </c>
      <c r="E32" s="100">
        <v>0</v>
      </c>
      <c r="F32" s="112">
        <f t="shared" si="3"/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2">
        <v>920900</v>
      </c>
      <c r="R32" s="103">
        <v>0</v>
      </c>
      <c r="S32" s="104">
        <v>0</v>
      </c>
      <c r="T32" s="103">
        <v>0</v>
      </c>
      <c r="U32" s="103">
        <v>0</v>
      </c>
      <c r="V32" s="103">
        <v>0</v>
      </c>
      <c r="W32" s="6">
        <v>0</v>
      </c>
      <c r="X32" s="6">
        <v>0</v>
      </c>
      <c r="Y32" s="105">
        <f t="shared" si="1"/>
        <v>920900</v>
      </c>
      <c r="Z32" s="106">
        <f t="shared" si="2"/>
        <v>920900</v>
      </c>
    </row>
    <row r="33" spans="1:26" s="111" customFormat="1" ht="21.75">
      <c r="A33" s="109">
        <v>27</v>
      </c>
      <c r="B33" s="107" t="s">
        <v>19</v>
      </c>
      <c r="C33" s="100">
        <v>0</v>
      </c>
      <c r="D33" s="100">
        <v>0</v>
      </c>
      <c r="E33" s="100">
        <v>0</v>
      </c>
      <c r="F33" s="112">
        <f t="shared" si="3"/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2">
        <v>0</v>
      </c>
      <c r="R33" s="103">
        <v>0</v>
      </c>
      <c r="S33" s="104">
        <v>0</v>
      </c>
      <c r="T33" s="103">
        <v>0</v>
      </c>
      <c r="U33" s="103">
        <v>0</v>
      </c>
      <c r="V33" s="103">
        <v>0</v>
      </c>
      <c r="W33" s="6">
        <v>0</v>
      </c>
      <c r="X33" s="6">
        <v>0</v>
      </c>
      <c r="Y33" s="105">
        <f t="shared" si="1"/>
        <v>0</v>
      </c>
      <c r="Z33" s="106">
        <f t="shared" si="2"/>
        <v>0</v>
      </c>
    </row>
    <row r="34" spans="1:26" s="111" customFormat="1" ht="21.75">
      <c r="A34" s="109">
        <v>28</v>
      </c>
      <c r="B34" s="107" t="s">
        <v>20</v>
      </c>
      <c r="C34" s="100">
        <v>0</v>
      </c>
      <c r="D34" s="100">
        <v>0</v>
      </c>
      <c r="E34" s="100">
        <v>0</v>
      </c>
      <c r="F34" s="112">
        <f t="shared" si="3"/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2">
        <v>0</v>
      </c>
      <c r="R34" s="103">
        <v>0</v>
      </c>
      <c r="S34" s="104">
        <v>0</v>
      </c>
      <c r="T34" s="103">
        <v>0</v>
      </c>
      <c r="U34" s="103">
        <v>0</v>
      </c>
      <c r="V34" s="103">
        <v>0</v>
      </c>
      <c r="W34" s="6">
        <f>500000</f>
        <v>500000</v>
      </c>
      <c r="X34" s="6">
        <f>514705+637213.37</f>
        <v>1151918.37</v>
      </c>
      <c r="Y34" s="105">
        <f t="shared" si="1"/>
        <v>1651918.37</v>
      </c>
      <c r="Z34" s="106">
        <f t="shared" si="2"/>
        <v>1651918.37</v>
      </c>
    </row>
    <row r="35" spans="1:26" s="111" customFormat="1" ht="21.75">
      <c r="A35" s="109">
        <v>29</v>
      </c>
      <c r="B35" s="107" t="s">
        <v>21</v>
      </c>
      <c r="C35" s="100">
        <v>0</v>
      </c>
      <c r="D35" s="100">
        <v>0</v>
      </c>
      <c r="E35" s="100">
        <v>0</v>
      </c>
      <c r="F35" s="112">
        <f t="shared" si="3"/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2">
        <v>0</v>
      </c>
      <c r="R35" s="103">
        <v>0</v>
      </c>
      <c r="S35" s="104">
        <v>0</v>
      </c>
      <c r="T35" s="103">
        <v>0</v>
      </c>
      <c r="U35" s="103">
        <v>0</v>
      </c>
      <c r="V35" s="103">
        <v>0</v>
      </c>
      <c r="W35" s="6">
        <v>1581.49</v>
      </c>
      <c r="X35" s="6">
        <f>1064468.55</f>
        <v>1064468.55</v>
      </c>
      <c r="Y35" s="105">
        <f t="shared" si="1"/>
        <v>1066050.04</v>
      </c>
      <c r="Z35" s="106">
        <f t="shared" si="2"/>
        <v>1066050.04</v>
      </c>
    </row>
    <row r="36" spans="1:26" s="111" customFormat="1" ht="21.75">
      <c r="A36" s="109">
        <v>30</v>
      </c>
      <c r="B36" s="107" t="s">
        <v>49</v>
      </c>
      <c r="C36" s="100">
        <v>0</v>
      </c>
      <c r="D36" s="100">
        <v>0</v>
      </c>
      <c r="E36" s="100">
        <v>0</v>
      </c>
      <c r="F36" s="112">
        <f>SUM(C36:E36)</f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2">
        <v>0</v>
      </c>
      <c r="R36" s="103">
        <v>0</v>
      </c>
      <c r="S36" s="104">
        <v>0</v>
      </c>
      <c r="T36" s="103">
        <v>0</v>
      </c>
      <c r="U36" s="103">
        <v>0</v>
      </c>
      <c r="V36" s="103">
        <v>0</v>
      </c>
      <c r="W36" s="6">
        <f>347.5+40000</f>
        <v>40347.5</v>
      </c>
      <c r="X36" s="6">
        <f>106600+215.2+4.47+402+21.44+65580+386785.56+5.33+315337.56+9.21+95250+2884600+76967.88+7705388.58</f>
        <v>11637167.23</v>
      </c>
      <c r="Y36" s="105">
        <f t="shared" si="1"/>
        <v>11677514.73</v>
      </c>
      <c r="Z36" s="106">
        <f t="shared" si="2"/>
        <v>11677514.73</v>
      </c>
    </row>
    <row r="37" spans="1:26" s="111" customFormat="1" ht="21.75">
      <c r="A37" s="109">
        <v>31</v>
      </c>
      <c r="B37" s="107" t="s">
        <v>22</v>
      </c>
      <c r="C37" s="100">
        <v>0</v>
      </c>
      <c r="D37" s="100">
        <v>0</v>
      </c>
      <c r="E37" s="100">
        <v>0</v>
      </c>
      <c r="F37" s="112">
        <f t="shared" si="3"/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2">
        <v>0</v>
      </c>
      <c r="R37" s="103">
        <v>0</v>
      </c>
      <c r="S37" s="104">
        <v>0</v>
      </c>
      <c r="T37" s="103">
        <v>0</v>
      </c>
      <c r="U37" s="103">
        <v>0</v>
      </c>
      <c r="V37" s="103">
        <v>0</v>
      </c>
      <c r="W37" s="6">
        <v>526404.26</v>
      </c>
      <c r="X37" s="6">
        <f>389918.31</f>
        <v>389918.31</v>
      </c>
      <c r="Y37" s="105">
        <f t="shared" si="1"/>
        <v>916322.5700000001</v>
      </c>
      <c r="Z37" s="106">
        <f t="shared" si="2"/>
        <v>916322.5700000001</v>
      </c>
    </row>
    <row r="38" spans="1:26" s="111" customFormat="1" ht="21.75">
      <c r="A38" s="109">
        <v>32</v>
      </c>
      <c r="B38" s="107" t="s">
        <v>23</v>
      </c>
      <c r="C38" s="100">
        <v>0</v>
      </c>
      <c r="D38" s="100">
        <v>0</v>
      </c>
      <c r="E38" s="100">
        <v>0</v>
      </c>
      <c r="F38" s="112">
        <f t="shared" si="3"/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2">
        <v>0</v>
      </c>
      <c r="R38" s="103">
        <v>0</v>
      </c>
      <c r="S38" s="104">
        <v>0</v>
      </c>
      <c r="T38" s="103">
        <f>2419306.8+1506507.29</f>
        <v>3925814.09</v>
      </c>
      <c r="U38" s="103">
        <v>0</v>
      </c>
      <c r="V38" s="103">
        <v>0</v>
      </c>
      <c r="W38" s="6">
        <v>0</v>
      </c>
      <c r="X38" s="6">
        <v>0</v>
      </c>
      <c r="Y38" s="105">
        <f t="shared" si="1"/>
        <v>3925814.09</v>
      </c>
      <c r="Z38" s="106">
        <f t="shared" si="2"/>
        <v>3925814.09</v>
      </c>
    </row>
    <row r="39" spans="1:26" s="111" customFormat="1" ht="21.75">
      <c r="A39" s="109">
        <v>33</v>
      </c>
      <c r="B39" s="107" t="s">
        <v>24</v>
      </c>
      <c r="C39" s="114">
        <v>0</v>
      </c>
      <c r="D39" s="114">
        <v>0</v>
      </c>
      <c r="E39" s="114">
        <v>0</v>
      </c>
      <c r="F39" s="112">
        <f t="shared" si="3"/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2">
        <v>0</v>
      </c>
      <c r="R39" s="103">
        <v>0</v>
      </c>
      <c r="S39" s="104">
        <v>0</v>
      </c>
      <c r="T39" s="103">
        <f>155822.34+831032.46</f>
        <v>986854.7999999999</v>
      </c>
      <c r="U39" s="103">
        <v>0</v>
      </c>
      <c r="V39" s="103">
        <v>0</v>
      </c>
      <c r="W39" s="6">
        <f>568454.24</f>
        <v>568454.24</v>
      </c>
      <c r="X39" s="6">
        <f>1158835.8</f>
        <v>1158835.8</v>
      </c>
      <c r="Y39" s="105">
        <f t="shared" si="1"/>
        <v>2714144.84</v>
      </c>
      <c r="Z39" s="106">
        <f t="shared" si="2"/>
        <v>2714144.84</v>
      </c>
    </row>
    <row r="40" spans="1:26" s="111" customFormat="1" ht="21.75">
      <c r="A40" s="109">
        <v>34</v>
      </c>
      <c r="B40" s="115" t="s">
        <v>50</v>
      </c>
      <c r="C40" s="114">
        <v>0</v>
      </c>
      <c r="D40" s="114">
        <v>0</v>
      </c>
      <c r="E40" s="114">
        <v>0</v>
      </c>
      <c r="F40" s="112">
        <f>SUM(C40:E40)</f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105">
        <f t="shared" si="1"/>
        <v>0</v>
      </c>
      <c r="Z40" s="106">
        <f t="shared" si="2"/>
        <v>0</v>
      </c>
    </row>
    <row r="41" spans="1:26" s="111" customFormat="1" ht="21.75">
      <c r="A41" s="109" t="s">
        <v>47</v>
      </c>
      <c r="B41" s="115" t="s">
        <v>43</v>
      </c>
      <c r="C41" s="114">
        <v>0</v>
      </c>
      <c r="D41" s="114">
        <v>0</v>
      </c>
      <c r="E41" s="114">
        <v>0</v>
      </c>
      <c r="F41" s="112">
        <f>SUM(C41:E41)</f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104">
        <f>1463425.03-230969</f>
        <v>1232456.03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105">
        <f t="shared" si="1"/>
        <v>1232456.03</v>
      </c>
      <c r="Z41" s="106">
        <f t="shared" si="2"/>
        <v>1232456.03</v>
      </c>
    </row>
    <row r="42" spans="1:26" s="111" customFormat="1" ht="23.25">
      <c r="A42" s="109" t="s">
        <v>40</v>
      </c>
      <c r="B42" s="115" t="s">
        <v>39</v>
      </c>
      <c r="C42" s="116"/>
      <c r="D42" s="117">
        <f>SUM(F49-F50)</f>
        <v>-793549.4800000191</v>
      </c>
      <c r="E42" s="118"/>
      <c r="F42" s="112">
        <f t="shared" si="3"/>
        <v>-793549.4800000191</v>
      </c>
      <c r="G42" s="108">
        <v>7622930</v>
      </c>
      <c r="H42" s="108">
        <v>6035000</v>
      </c>
      <c r="I42" s="108">
        <f>47142320.78-13859904.5</f>
        <v>33282416.28</v>
      </c>
      <c r="J42" s="108">
        <v>48541504.08</v>
      </c>
      <c r="K42" s="108">
        <v>585282.38</v>
      </c>
      <c r="L42" s="108">
        <v>7119950</v>
      </c>
      <c r="M42" s="108">
        <v>12370786</v>
      </c>
      <c r="N42" s="108">
        <v>3058574.55</v>
      </c>
      <c r="O42" s="108">
        <v>1709495</v>
      </c>
      <c r="P42" s="108">
        <v>239110</v>
      </c>
      <c r="Q42" s="102">
        <v>0</v>
      </c>
      <c r="R42" s="103">
        <v>0</v>
      </c>
      <c r="S42" s="104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5">
        <f t="shared" si="1"/>
        <v>120565048.28999999</v>
      </c>
      <c r="Z42" s="106">
        <f t="shared" si="2"/>
        <v>119771498.80999997</v>
      </c>
    </row>
    <row r="43" spans="6:26" ht="21.75" thickBot="1">
      <c r="F43" s="119">
        <f>SUM(F7:F42)</f>
        <v>314485395.52</v>
      </c>
      <c r="G43" s="120">
        <f aca="true" t="shared" si="4" ref="G43:X43">SUM(G7:G42)</f>
        <v>9973801</v>
      </c>
      <c r="H43" s="120">
        <f t="shared" si="4"/>
        <v>6148700</v>
      </c>
      <c r="I43" s="120">
        <f t="shared" si="4"/>
        <v>33340179.29</v>
      </c>
      <c r="J43" s="120">
        <f t="shared" si="4"/>
        <v>49086160.39</v>
      </c>
      <c r="K43" s="120">
        <f t="shared" si="4"/>
        <v>585282.38</v>
      </c>
      <c r="L43" s="120">
        <f t="shared" si="4"/>
        <v>7119950</v>
      </c>
      <c r="M43" s="120">
        <f t="shared" si="4"/>
        <v>12370786</v>
      </c>
      <c r="N43" s="120">
        <f t="shared" si="4"/>
        <v>3079574.55</v>
      </c>
      <c r="O43" s="120">
        <f t="shared" si="4"/>
        <v>1709495</v>
      </c>
      <c r="P43" s="120">
        <f t="shared" si="4"/>
        <v>239110</v>
      </c>
      <c r="Q43" s="120">
        <f t="shared" si="4"/>
        <v>25401969.5</v>
      </c>
      <c r="R43" s="120">
        <f t="shared" si="4"/>
        <v>12155500</v>
      </c>
      <c r="S43" s="120">
        <f t="shared" si="4"/>
        <v>1463425.03</v>
      </c>
      <c r="T43" s="120">
        <f t="shared" si="4"/>
        <v>6058665.38</v>
      </c>
      <c r="U43" s="120">
        <f t="shared" si="4"/>
        <v>614232.21</v>
      </c>
      <c r="V43" s="120">
        <f t="shared" si="4"/>
        <v>8589300.549999999</v>
      </c>
      <c r="W43" s="120">
        <f t="shared" si="4"/>
        <v>2196517.1900000004</v>
      </c>
      <c r="X43" s="120">
        <f t="shared" si="4"/>
        <v>32834493.400000002</v>
      </c>
      <c r="Y43" s="120">
        <f>SUM(Y7:Y42)</f>
        <v>212967141.87</v>
      </c>
      <c r="Z43" s="121">
        <f>SUM(F43+Y43)</f>
        <v>527452537.39</v>
      </c>
    </row>
    <row r="44" ht="24" thickTop="1">
      <c r="C44" s="122"/>
    </row>
    <row r="46" ht="21">
      <c r="B46" s="86" t="s">
        <v>85</v>
      </c>
    </row>
    <row r="49" spans="4:6" ht="21">
      <c r="D49" s="86" t="s">
        <v>86</v>
      </c>
      <c r="F49" s="89">
        <v>314485395.52</v>
      </c>
    </row>
    <row r="50" spans="6:26" ht="21">
      <c r="F50" s="89">
        <f>SUM(F7:F39)</f>
        <v>315278945</v>
      </c>
      <c r="Z50" s="123"/>
    </row>
    <row r="51" ht="21">
      <c r="F51" s="89">
        <f>SUM(F49-F43)</f>
        <v>0</v>
      </c>
    </row>
  </sheetData>
  <sheetProtection/>
  <mergeCells count="8">
    <mergeCell ref="A1:Z1"/>
    <mergeCell ref="A2:Z2"/>
    <mergeCell ref="A3:Z3"/>
    <mergeCell ref="A5:A6"/>
    <mergeCell ref="B5:B6"/>
    <mergeCell ref="C5:F5"/>
    <mergeCell ref="G5:Y5"/>
    <mergeCell ref="Z5:Z6"/>
  </mergeCells>
  <printOptions/>
  <pageMargins left="0.23" right="0.18" top="0.75" bottom="0.75" header="0.3" footer="0.3"/>
  <pageSetup horizontalDpi="600" verticalDpi="600" orientation="landscape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</dc:creator>
  <cp:keywords/>
  <dc:description/>
  <cp:lastModifiedBy>Lenovo</cp:lastModifiedBy>
  <cp:lastPrinted>2023-06-14T07:59:57Z</cp:lastPrinted>
  <dcterms:created xsi:type="dcterms:W3CDTF">2017-11-16T10:13:43Z</dcterms:created>
  <dcterms:modified xsi:type="dcterms:W3CDTF">2023-06-14T08:27:42Z</dcterms:modified>
  <cp:category/>
  <cp:version/>
  <cp:contentType/>
  <cp:contentStatus/>
</cp:coreProperties>
</file>