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สัณสนี\SANSANEE\1.ตาล\1.รายงาน\1.ประจำเดือน\6.รายงานทุนวิจัยภายนอก\"/>
    </mc:Choice>
  </mc:AlternateContent>
  <bookViews>
    <workbookView xWindow="0" yWindow="0" windowWidth="28800" windowHeight="11700" tabRatio="921"/>
  </bookViews>
  <sheets>
    <sheet name="ปีงปม.67สรุป100%(ณ30กย67)" sheetId="16" r:id="rId1"/>
    <sheet name="ปีงปม.67สรุป(ณ30กย67)" sheetId="15" r:id="rId2"/>
    <sheet name="ปีงปม.67รายละเอียด(ณ30กย67)" sheetId="14" r:id="rId3"/>
    <sheet name="ปีงปม.66สรุป" sheetId="13" r:id="rId4"/>
    <sheet name="ปีงปม.66รายละเอียด" sheetId="12" r:id="rId5"/>
    <sheet name="ปีงปม.65สรุป" sheetId="11" r:id="rId6"/>
    <sheet name="ปีงปม.65รายละเอียด" sheetId="4" r:id="rId7"/>
    <sheet name="ปีงปม.64สรุป" sheetId="17" r:id="rId8"/>
    <sheet name="ปีงปม.64 รายละเอียด" sheetId="5" r:id="rId9"/>
    <sheet name="ปีงปม.63" sheetId="6" r:id="rId10"/>
    <sheet name="ปีงปม.62" sheetId="7" r:id="rId11"/>
    <sheet name="ปีงปม.61" sheetId="8" r:id="rId12"/>
    <sheet name="ปีงปม.60" sheetId="2" r:id="rId13"/>
    <sheet name="ปีงปม.59" sheetId="1" r:id="rId14"/>
    <sheet name="ปีงปม.58" sheetId="10" r:id="rId15"/>
    <sheet name="เริ่มเก็บ22กย57" sheetId="9"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3" i="14" l="1"/>
  <c r="O162" i="14" s="1"/>
  <c r="M162" i="14"/>
  <c r="L162" i="14"/>
  <c r="K162" i="14"/>
  <c r="J162" i="14"/>
  <c r="I162" i="14"/>
  <c r="O161" i="14"/>
  <c r="O160" i="14"/>
  <c r="O159" i="14"/>
  <c r="O158" i="14"/>
  <c r="M158" i="14"/>
  <c r="L158" i="14"/>
  <c r="K158" i="14"/>
  <c r="J158" i="14"/>
  <c r="I158" i="14"/>
  <c r="O157" i="14"/>
  <c r="O156" i="14"/>
  <c r="O155" i="14"/>
  <c r="O154" i="14" s="1"/>
  <c r="M154" i="14"/>
  <c r="L154" i="14"/>
  <c r="K154" i="14"/>
  <c r="J154" i="14"/>
  <c r="I154" i="14"/>
  <c r="O153" i="14"/>
  <c r="O152" i="14"/>
  <c r="O151" i="14"/>
  <c r="O150" i="14"/>
  <c r="O149" i="14"/>
  <c r="O148" i="14"/>
  <c r="O146" i="14" s="1"/>
  <c r="O147" i="14"/>
  <c r="M146" i="14"/>
  <c r="L146" i="14"/>
  <c r="K146" i="14"/>
  <c r="J146" i="14"/>
  <c r="I146" i="14"/>
  <c r="O145" i="14"/>
  <c r="O144" i="14" s="1"/>
  <c r="M144" i="14"/>
  <c r="L144" i="14"/>
  <c r="K144" i="14"/>
  <c r="J144" i="14"/>
  <c r="I144" i="14"/>
  <c r="O143" i="14"/>
  <c r="O142" i="14"/>
  <c r="O141" i="14"/>
  <c r="O140" i="14"/>
  <c r="O139" i="14"/>
  <c r="O138" i="14"/>
  <c r="O137" i="14" s="1"/>
  <c r="M137" i="14"/>
  <c r="L137" i="14"/>
  <c r="K137" i="14"/>
  <c r="J137" i="14"/>
  <c r="I137" i="14"/>
  <c r="O136" i="14"/>
  <c r="O135" i="14"/>
  <c r="M135" i="14"/>
  <c r="L135" i="14"/>
  <c r="K135" i="14"/>
  <c r="J135" i="14"/>
  <c r="I135" i="14"/>
  <c r="O134" i="14"/>
  <c r="O133" i="14"/>
  <c r="O132" i="14"/>
  <c r="O131" i="14"/>
  <c r="O130" i="14"/>
  <c r="O129" i="14"/>
  <c r="O128" i="14"/>
  <c r="O127" i="14"/>
  <c r="O126" i="14"/>
  <c r="O125" i="14"/>
  <c r="O124" i="14"/>
  <c r="O123" i="14"/>
  <c r="O122" i="14"/>
  <c r="O121" i="14"/>
  <c r="O120" i="14"/>
  <c r="O119" i="14"/>
  <c r="O118" i="14"/>
  <c r="O117" i="14"/>
  <c r="O116" i="14"/>
  <c r="O115" i="14"/>
  <c r="O114" i="14"/>
  <c r="M114" i="14"/>
  <c r="L114" i="14"/>
  <c r="K114" i="14"/>
  <c r="J114" i="14"/>
  <c r="I114" i="14"/>
  <c r="O113" i="14"/>
  <c r="O112" i="14"/>
  <c r="O111" i="14"/>
  <c r="O110" i="14"/>
  <c r="O109" i="14"/>
  <c r="O108" i="14"/>
  <c r="O107" i="14"/>
  <c r="O106" i="14"/>
  <c r="O105" i="14"/>
  <c r="O104" i="14"/>
  <c r="O103" i="14"/>
  <c r="O102" i="14" s="1"/>
  <c r="M102" i="14"/>
  <c r="L102" i="14"/>
  <c r="K102" i="14"/>
  <c r="J102" i="14"/>
  <c r="I102" i="14"/>
  <c r="O101" i="14"/>
  <c r="O100" i="14"/>
  <c r="O99" i="14"/>
  <c r="O98" i="14"/>
  <c r="O97" i="14" s="1"/>
  <c r="M97" i="14"/>
  <c r="L97" i="14"/>
  <c r="K97" i="14"/>
  <c r="J97" i="14"/>
  <c r="I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59" i="14" s="1"/>
  <c r="O62" i="14"/>
  <c r="O61" i="14"/>
  <c r="O60" i="14"/>
  <c r="M59" i="14"/>
  <c r="L59" i="14"/>
  <c r="K59" i="14"/>
  <c r="J59" i="14"/>
  <c r="I59" i="14"/>
  <c r="O58" i="14"/>
  <c r="O57" i="14"/>
  <c r="O56" i="14"/>
  <c r="O55" i="14" s="1"/>
  <c r="M55" i="14"/>
  <c r="L55" i="14"/>
  <c r="K55" i="14"/>
  <c r="J55" i="14"/>
  <c r="I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s="1"/>
  <c r="M30" i="14"/>
  <c r="L30" i="14"/>
  <c r="K30" i="14"/>
  <c r="J30" i="14"/>
  <c r="I30" i="14"/>
  <c r="O29" i="14"/>
  <c r="O28" i="14"/>
  <c r="O27" i="14"/>
  <c r="O26" i="14"/>
  <c r="M26" i="14"/>
  <c r="L26" i="14"/>
  <c r="L164" i="14" s="1"/>
  <c r="K26" i="14"/>
  <c r="J26" i="14"/>
  <c r="I26" i="14"/>
  <c r="O25" i="14"/>
  <c r="O24" i="14"/>
  <c r="O23" i="14"/>
  <c r="O22" i="14"/>
  <c r="O21" i="14"/>
  <c r="O20" i="14"/>
  <c r="O19" i="14"/>
  <c r="O18" i="14"/>
  <c r="O17" i="14"/>
  <c r="O16" i="14" s="1"/>
  <c r="M16" i="14"/>
  <c r="L16" i="14"/>
  <c r="K16" i="14"/>
  <c r="J16" i="14"/>
  <c r="I16" i="14"/>
  <c r="O15" i="14"/>
  <c r="O14" i="14"/>
  <c r="O13" i="14"/>
  <c r="O12" i="14"/>
  <c r="O11" i="14"/>
  <c r="O10" i="14"/>
  <c r="O9" i="14"/>
  <c r="O8" i="14"/>
  <c r="M8" i="14"/>
  <c r="M164" i="14" s="1"/>
  <c r="L8" i="14"/>
  <c r="K8" i="14"/>
  <c r="K164" i="14" s="1"/>
  <c r="J8" i="14"/>
  <c r="J164" i="14" s="1"/>
  <c r="I8" i="14"/>
  <c r="I164" i="14" s="1"/>
  <c r="I24" i="15"/>
  <c r="G24" i="15"/>
  <c r="F24" i="15"/>
  <c r="E24" i="15"/>
  <c r="D24" i="15"/>
  <c r="C24" i="15"/>
  <c r="N23" i="16"/>
  <c r="M23" i="16"/>
  <c r="L23" i="16"/>
  <c r="K23" i="16"/>
  <c r="J23" i="16"/>
  <c r="I23" i="16"/>
  <c r="H23" i="16"/>
  <c r="G23" i="16"/>
  <c r="E23" i="16"/>
  <c r="D23" i="16"/>
  <c r="C23" i="16"/>
  <c r="O22" i="16"/>
  <c r="O21" i="16"/>
  <c r="O20" i="16"/>
  <c r="O19" i="16"/>
  <c r="O18" i="16"/>
  <c r="O17" i="16"/>
  <c r="O16" i="16"/>
  <c r="O15" i="16"/>
  <c r="O14" i="16"/>
  <c r="O13" i="16"/>
  <c r="O12" i="16"/>
  <c r="O11" i="16"/>
  <c r="H10" i="16"/>
  <c r="F10" i="16"/>
  <c r="F23" i="16" s="1"/>
  <c r="O9" i="16"/>
  <c r="O8" i="16"/>
  <c r="O7" i="16"/>
  <c r="O164" i="14" l="1"/>
  <c r="O10" i="16"/>
  <c r="O23" i="16" s="1"/>
  <c r="D19" i="17"/>
  <c r="E19" i="17"/>
  <c r="F19" i="17"/>
  <c r="G19" i="17"/>
  <c r="H19" i="17"/>
  <c r="I19" i="17"/>
  <c r="C19" i="17"/>
  <c r="J115" i="5"/>
  <c r="K115" i="5"/>
  <c r="L115" i="5"/>
  <c r="M115" i="5"/>
  <c r="N115" i="5"/>
  <c r="O115" i="5"/>
  <c r="I115" i="5"/>
  <c r="J112" i="5"/>
  <c r="K112" i="5"/>
  <c r="L112" i="5"/>
  <c r="M112" i="5"/>
  <c r="N112" i="5"/>
  <c r="O112" i="5"/>
  <c r="I112" i="5"/>
  <c r="J108" i="5"/>
  <c r="K108" i="5"/>
  <c r="L108" i="5"/>
  <c r="M108" i="5"/>
  <c r="N108" i="5"/>
  <c r="O108" i="5"/>
  <c r="I108" i="5"/>
  <c r="J100" i="5"/>
  <c r="K100" i="5"/>
  <c r="L100" i="5"/>
  <c r="M100" i="5"/>
  <c r="N100" i="5"/>
  <c r="O100" i="5"/>
  <c r="I100" i="5"/>
  <c r="J72" i="5"/>
  <c r="K72" i="5"/>
  <c r="L72" i="5"/>
  <c r="M72" i="5"/>
  <c r="N72" i="5"/>
  <c r="O72" i="5"/>
  <c r="I72" i="5"/>
  <c r="I57" i="5"/>
  <c r="J57" i="5"/>
  <c r="K57" i="5"/>
  <c r="L57" i="5"/>
  <c r="M57" i="5"/>
  <c r="N57" i="5"/>
  <c r="O57" i="5"/>
  <c r="J55" i="5"/>
  <c r="K55" i="5"/>
  <c r="L55" i="5"/>
  <c r="M55" i="5"/>
  <c r="N55" i="5"/>
  <c r="O55" i="5"/>
  <c r="I55" i="5"/>
  <c r="J36" i="5"/>
  <c r="K36" i="5"/>
  <c r="L36" i="5"/>
  <c r="M36" i="5"/>
  <c r="N36" i="5"/>
  <c r="O36" i="5"/>
  <c r="I36" i="5"/>
  <c r="J27" i="5"/>
  <c r="K27" i="5"/>
  <c r="L27" i="5"/>
  <c r="M27" i="5"/>
  <c r="N27" i="5"/>
  <c r="O27" i="5"/>
  <c r="I27" i="5"/>
  <c r="J18" i="5"/>
  <c r="K18" i="5"/>
  <c r="L18" i="5"/>
  <c r="M18" i="5"/>
  <c r="N18" i="5"/>
  <c r="O18" i="5"/>
  <c r="I18" i="5"/>
  <c r="J15" i="5"/>
  <c r="K15" i="5"/>
  <c r="L15" i="5"/>
  <c r="M15" i="5"/>
  <c r="N15" i="5"/>
  <c r="O15" i="5"/>
  <c r="I15" i="5"/>
  <c r="J8" i="5"/>
  <c r="K8" i="5"/>
  <c r="L8" i="5"/>
  <c r="M8" i="5"/>
  <c r="N8" i="5"/>
  <c r="O8" i="5"/>
  <c r="I8" i="5"/>
  <c r="O148" i="12" l="1"/>
  <c r="O146" i="12" s="1"/>
  <c r="O147" i="12"/>
  <c r="N146" i="12"/>
  <c r="M146" i="12"/>
  <c r="L146" i="12"/>
  <c r="K146" i="12"/>
  <c r="J146" i="12"/>
  <c r="I146" i="12"/>
  <c r="O145" i="12"/>
  <c r="O144" i="12"/>
  <c r="N144" i="12"/>
  <c r="M144" i="12"/>
  <c r="L144" i="12"/>
  <c r="K144" i="12"/>
  <c r="J144" i="12"/>
  <c r="I144" i="12"/>
  <c r="O143" i="12"/>
  <c r="O142" i="12"/>
  <c r="O141" i="12"/>
  <c r="O140" i="12"/>
  <c r="O138" i="12" s="1"/>
  <c r="O139" i="12"/>
  <c r="N138" i="12"/>
  <c r="M138" i="12"/>
  <c r="L138" i="12"/>
  <c r="K138" i="12"/>
  <c r="J138" i="12"/>
  <c r="I138" i="12"/>
  <c r="O137" i="12"/>
  <c r="O136" i="12"/>
  <c r="O135" i="12" s="1"/>
  <c r="N135" i="12"/>
  <c r="M135" i="12"/>
  <c r="L135" i="12"/>
  <c r="K135" i="12"/>
  <c r="J135" i="12"/>
  <c r="I135" i="12"/>
  <c r="O134" i="12"/>
  <c r="O133" i="12"/>
  <c r="O132" i="12"/>
  <c r="O131" i="12" s="1"/>
  <c r="N131" i="12"/>
  <c r="M131" i="12"/>
  <c r="L131" i="12"/>
  <c r="K131" i="12"/>
  <c r="J131" i="12"/>
  <c r="I131" i="12"/>
  <c r="O130" i="12"/>
  <c r="O129" i="12"/>
  <c r="O128" i="12"/>
  <c r="O127" i="12"/>
  <c r="O126" i="12"/>
  <c r="O124" i="12" s="1"/>
  <c r="O125" i="12"/>
  <c r="N124" i="12"/>
  <c r="M124" i="12"/>
  <c r="L124" i="12"/>
  <c r="K124" i="12"/>
  <c r="J124" i="12"/>
  <c r="I124" i="12"/>
  <c r="O123" i="12"/>
  <c r="O122" i="12"/>
  <c r="O121" i="12"/>
  <c r="O120" i="12"/>
  <c r="I119" i="12"/>
  <c r="O119" i="12" s="1"/>
  <c r="O118" i="12"/>
  <c r="O117" i="12"/>
  <c r="N116" i="12"/>
  <c r="M116" i="12"/>
  <c r="L116" i="12"/>
  <c r="K116" i="12"/>
  <c r="J116" i="12"/>
  <c r="I116" i="12"/>
  <c r="O115" i="12"/>
  <c r="O114" i="12"/>
  <c r="O113" i="12"/>
  <c r="O112" i="12"/>
  <c r="O111" i="12"/>
  <c r="O110" i="12"/>
  <c r="O109" i="12"/>
  <c r="O108" i="12"/>
  <c r="O107" i="12"/>
  <c r="O106" i="12"/>
  <c r="O105" i="12"/>
  <c r="O104" i="12"/>
  <c r="O103" i="12"/>
  <c r="I102" i="12"/>
  <c r="O102" i="12" s="1"/>
  <c r="O101" i="12"/>
  <c r="O100" i="12"/>
  <c r="I100" i="12"/>
  <c r="O99" i="12"/>
  <c r="I99" i="12"/>
  <c r="O98" i="12"/>
  <c r="I97" i="12"/>
  <c r="O97" i="12" s="1"/>
  <c r="O95" i="12" s="1"/>
  <c r="O96" i="12"/>
  <c r="N95" i="12"/>
  <c r="M95" i="12"/>
  <c r="L95" i="12"/>
  <c r="K95" i="12"/>
  <c r="J95" i="12"/>
  <c r="I95" i="12"/>
  <c r="O94" i="12"/>
  <c r="O93" i="12"/>
  <c r="O92" i="12"/>
  <c r="O91" i="12"/>
  <c r="O90" i="12"/>
  <c r="O89" i="12"/>
  <c r="O88" i="12"/>
  <c r="O87" i="12"/>
  <c r="O86" i="12"/>
  <c r="O85" i="12"/>
  <c r="N85" i="12"/>
  <c r="M85" i="12"/>
  <c r="L85" i="12"/>
  <c r="K85" i="12"/>
  <c r="J85" i="12"/>
  <c r="I85" i="12"/>
  <c r="O84" i="12"/>
  <c r="O83" i="12"/>
  <c r="O81" i="12" s="1"/>
  <c r="O82" i="12"/>
  <c r="N81" i="12"/>
  <c r="M81" i="12"/>
  <c r="L81" i="12"/>
  <c r="K81" i="12"/>
  <c r="J81" i="12"/>
  <c r="I81" i="12"/>
  <c r="O80" i="12"/>
  <c r="O79" i="12"/>
  <c r="O78" i="12"/>
  <c r="O77" i="12"/>
  <c r="I76" i="12"/>
  <c r="O76" i="12" s="1"/>
  <c r="I75" i="12"/>
  <c r="I74" i="12" s="1"/>
  <c r="N74" i="12"/>
  <c r="M74" i="12"/>
  <c r="L74" i="12"/>
  <c r="K74" i="12"/>
  <c r="J74" i="12"/>
  <c r="O73" i="12"/>
  <c r="O72" i="12"/>
  <c r="O71" i="12"/>
  <c r="O70" i="12"/>
  <c r="O69" i="12"/>
  <c r="O68" i="12"/>
  <c r="I67" i="12"/>
  <c r="O67" i="12" s="1"/>
  <c r="O66" i="12"/>
  <c r="I66" i="12"/>
  <c r="O65" i="12"/>
  <c r="O64" i="12"/>
  <c r="O63" i="12"/>
  <c r="O62" i="12"/>
  <c r="O61" i="12"/>
  <c r="O60" i="12"/>
  <c r="O59" i="12"/>
  <c r="O58" i="12"/>
  <c r="O57" i="12"/>
  <c r="O56" i="12"/>
  <c r="O55" i="12"/>
  <c r="O54" i="12"/>
  <c r="O53" i="12"/>
  <c r="O52" i="12"/>
  <c r="O51" i="12"/>
  <c r="O50" i="12"/>
  <c r="O49" i="12"/>
  <c r="O48" i="12"/>
  <c r="O47" i="12"/>
  <c r="I46" i="12"/>
  <c r="O46" i="12" s="1"/>
  <c r="O45" i="12" s="1"/>
  <c r="N45" i="12"/>
  <c r="M45" i="12"/>
  <c r="L45" i="12"/>
  <c r="K45" i="12"/>
  <c r="J45" i="12"/>
  <c r="O44" i="12"/>
  <c r="O43" i="12"/>
  <c r="O42" i="12"/>
  <c r="O40" i="12" s="1"/>
  <c r="I42" i="12"/>
  <c r="O41" i="12"/>
  <c r="I41" i="12"/>
  <c r="N40" i="12"/>
  <c r="M40" i="12"/>
  <c r="L40" i="12"/>
  <c r="K40" i="12"/>
  <c r="J40" i="12"/>
  <c r="I40" i="12"/>
  <c r="O39" i="12"/>
  <c r="O38" i="12"/>
  <c r="O37" i="12"/>
  <c r="O36" i="12"/>
  <c r="O35" i="12"/>
  <c r="O34" i="12"/>
  <c r="O33" i="12"/>
  <c r="O32" i="12"/>
  <c r="O31" i="12"/>
  <c r="O30" i="12"/>
  <c r="I29" i="12"/>
  <c r="O29" i="12" s="1"/>
  <c r="O28" i="12"/>
  <c r="O27" i="12"/>
  <c r="O26" i="12"/>
  <c r="O25" i="12"/>
  <c r="O24" i="12"/>
  <c r="O23" i="12"/>
  <c r="I23" i="12"/>
  <c r="O22" i="12"/>
  <c r="O21" i="12"/>
  <c r="O20" i="12"/>
  <c r="O18" i="12" s="1"/>
  <c r="O19" i="12"/>
  <c r="N18" i="12"/>
  <c r="M18" i="12"/>
  <c r="L18" i="12"/>
  <c r="K18" i="12"/>
  <c r="J18" i="12"/>
  <c r="I18" i="12"/>
  <c r="O17" i="12"/>
  <c r="O16" i="12"/>
  <c r="N16" i="12"/>
  <c r="M16" i="12"/>
  <c r="L16" i="12"/>
  <c r="K16" i="12"/>
  <c r="J16" i="12"/>
  <c r="I16" i="12"/>
  <c r="O15" i="12"/>
  <c r="O14" i="12"/>
  <c r="N14" i="12"/>
  <c r="M14" i="12"/>
  <c r="M149" i="12" s="1"/>
  <c r="M152" i="12" s="1"/>
  <c r="L14" i="12"/>
  <c r="K14" i="12"/>
  <c r="J14" i="12"/>
  <c r="I14" i="12"/>
  <c r="O13" i="12"/>
  <c r="O12" i="12"/>
  <c r="I12" i="12"/>
  <c r="O11" i="12"/>
  <c r="O10" i="12"/>
  <c r="O9" i="12"/>
  <c r="O8" i="12"/>
  <c r="N8" i="12"/>
  <c r="N149" i="12" s="1"/>
  <c r="N152" i="12" s="1"/>
  <c r="M8" i="12"/>
  <c r="L8" i="12"/>
  <c r="L149" i="12" s="1"/>
  <c r="L152" i="12" s="1"/>
  <c r="K8" i="12"/>
  <c r="K149" i="12" s="1"/>
  <c r="K152" i="12" s="1"/>
  <c r="J8" i="12"/>
  <c r="J149" i="12" s="1"/>
  <c r="J152" i="12" s="1"/>
  <c r="I8" i="12"/>
  <c r="I25" i="13"/>
  <c r="H25" i="13"/>
  <c r="G25" i="13"/>
  <c r="F25" i="13"/>
  <c r="E25" i="13"/>
  <c r="D25" i="13"/>
  <c r="C25" i="13"/>
  <c r="O116" i="12" l="1"/>
  <c r="O75" i="12"/>
  <c r="O74" i="12" s="1"/>
  <c r="O149" i="12" s="1"/>
  <c r="O152" i="12" s="1"/>
  <c r="I45" i="12"/>
  <c r="I149" i="12" s="1"/>
  <c r="I152" i="12" s="1"/>
  <c r="I139" i="4"/>
  <c r="O139" i="4" s="1"/>
  <c r="O138" i="4" s="1"/>
  <c r="N138" i="4"/>
  <c r="M138" i="4"/>
  <c r="L138" i="4"/>
  <c r="K138" i="4"/>
  <c r="J138" i="4"/>
  <c r="O137" i="4"/>
  <c r="O135" i="4" s="1"/>
  <c r="O136" i="4"/>
  <c r="N135" i="4"/>
  <c r="M135" i="4"/>
  <c r="L135" i="4"/>
  <c r="K135" i="4"/>
  <c r="J135" i="4"/>
  <c r="I135" i="4"/>
  <c r="O134" i="4"/>
  <c r="O133" i="4"/>
  <c r="O132" i="4"/>
  <c r="O131" i="4"/>
  <c r="O130" i="4"/>
  <c r="O129" i="4"/>
  <c r="O128" i="4"/>
  <c r="O127" i="4"/>
  <c r="N127" i="4"/>
  <c r="M127" i="4"/>
  <c r="L127" i="4"/>
  <c r="K127" i="4"/>
  <c r="J127" i="4"/>
  <c r="I127" i="4"/>
  <c r="O126" i="4"/>
  <c r="O125" i="4"/>
  <c r="O124" i="4"/>
  <c r="O123" i="4"/>
  <c r="O122" i="4"/>
  <c r="O120" i="4" s="1"/>
  <c r="O121" i="4"/>
  <c r="N120" i="4"/>
  <c r="M120" i="4"/>
  <c r="L120" i="4"/>
  <c r="K120" i="4"/>
  <c r="J120" i="4"/>
  <c r="I120" i="4"/>
  <c r="O119" i="4"/>
  <c r="O118" i="4"/>
  <c r="I117" i="4"/>
  <c r="O117" i="4" s="1"/>
  <c r="O116" i="4"/>
  <c r="O115" i="4"/>
  <c r="O114" i="4"/>
  <c r="O113" i="4"/>
  <c r="O112" i="4"/>
  <c r="K111" i="4"/>
  <c r="J111" i="4"/>
  <c r="I111" i="4"/>
  <c r="O111" i="4" s="1"/>
  <c r="O110" i="4"/>
  <c r="O109" i="4"/>
  <c r="O108" i="4"/>
  <c r="K108" i="4"/>
  <c r="J108" i="4"/>
  <c r="I108" i="4"/>
  <c r="I107" i="4"/>
  <c r="I103" i="4" s="1"/>
  <c r="K106" i="4"/>
  <c r="J106" i="4"/>
  <c r="O106" i="4" s="1"/>
  <c r="I106" i="4"/>
  <c r="O105" i="4"/>
  <c r="O104" i="4"/>
  <c r="N103" i="4"/>
  <c r="M103" i="4"/>
  <c r="L103" i="4"/>
  <c r="K103" i="4"/>
  <c r="O102" i="4"/>
  <c r="O101" i="4"/>
  <c r="O100" i="4"/>
  <c r="O99" i="4"/>
  <c r="I98" i="4"/>
  <c r="O98" i="4" s="1"/>
  <c r="I97" i="4"/>
  <c r="O97" i="4" s="1"/>
  <c r="O96" i="4"/>
  <c r="O95" i="4"/>
  <c r="O94" i="4"/>
  <c r="O93" i="4"/>
  <c r="O92" i="4"/>
  <c r="O91" i="4"/>
  <c r="O90" i="4"/>
  <c r="O89" i="4"/>
  <c r="O88" i="4"/>
  <c r="O87" i="4"/>
  <c r="O86" i="4"/>
  <c r="O85" i="4"/>
  <c r="N84" i="4"/>
  <c r="M84" i="4"/>
  <c r="L84" i="4"/>
  <c r="K84" i="4"/>
  <c r="J84" i="4"/>
  <c r="I84" i="4"/>
  <c r="O83" i="4"/>
  <c r="O82" i="4"/>
  <c r="O81" i="4"/>
  <c r="O80" i="4" s="1"/>
  <c r="N80" i="4"/>
  <c r="M80" i="4"/>
  <c r="L80" i="4"/>
  <c r="K80" i="4"/>
  <c r="J80" i="4"/>
  <c r="I80" i="4"/>
  <c r="O79" i="4"/>
  <c r="O78" i="4"/>
  <c r="O77" i="4"/>
  <c r="O76" i="4" s="1"/>
  <c r="N76" i="4"/>
  <c r="M76" i="4"/>
  <c r="L76" i="4"/>
  <c r="K76" i="4"/>
  <c r="J76" i="4"/>
  <c r="I76" i="4"/>
  <c r="O75" i="4"/>
  <c r="O74" i="4"/>
  <c r="O73" i="4"/>
  <c r="O72" i="4"/>
  <c r="O71" i="4"/>
  <c r="O70" i="4"/>
  <c r="O69" i="4"/>
  <c r="O68" i="4"/>
  <c r="O67" i="4"/>
  <c r="O66" i="4"/>
  <c r="O65" i="4"/>
  <c r="O64" i="4"/>
  <c r="O63" i="4"/>
  <c r="O62" i="4"/>
  <c r="O61" i="4"/>
  <c r="O60" i="4"/>
  <c r="O59" i="4"/>
  <c r="O58" i="4"/>
  <c r="O57" i="4"/>
  <c r="O56" i="4"/>
  <c r="O55" i="4" s="1"/>
  <c r="N55" i="4"/>
  <c r="M55" i="4"/>
  <c r="L55" i="4"/>
  <c r="K55" i="4"/>
  <c r="J55" i="4"/>
  <c r="I55" i="4"/>
  <c r="O54" i="4"/>
  <c r="O52" i="4" s="1"/>
  <c r="O53" i="4"/>
  <c r="N52" i="4"/>
  <c r="M52" i="4"/>
  <c r="L52" i="4"/>
  <c r="K52" i="4"/>
  <c r="J52" i="4"/>
  <c r="I52" i="4"/>
  <c r="O51" i="4"/>
  <c r="O50" i="4"/>
  <c r="O49" i="4"/>
  <c r="O48" i="4"/>
  <c r="O47" i="4"/>
  <c r="I47" i="4"/>
  <c r="O46" i="4"/>
  <c r="O45" i="4"/>
  <c r="O44" i="4"/>
  <c r="O43" i="4"/>
  <c r="O42" i="4"/>
  <c r="O41" i="4"/>
  <c r="O40" i="4"/>
  <c r="O39" i="4"/>
  <c r="O38" i="4"/>
  <c r="O37" i="4"/>
  <c r="O36" i="4"/>
  <c r="O35" i="4"/>
  <c r="O34" i="4"/>
  <c r="O33" i="4"/>
  <c r="O32" i="4"/>
  <c r="O31" i="4"/>
  <c r="O30" i="4"/>
  <c r="O29" i="4"/>
  <c r="I29" i="4"/>
  <c r="I28" i="4"/>
  <c r="O28" i="4" s="1"/>
  <c r="O27" i="4" s="1"/>
  <c r="N27" i="4"/>
  <c r="M27" i="4"/>
  <c r="L27" i="4"/>
  <c r="K27" i="4"/>
  <c r="J27" i="4"/>
  <c r="O26" i="4"/>
  <c r="O25" i="4"/>
  <c r="O24" i="4"/>
  <c r="O23" i="4"/>
  <c r="O22" i="4"/>
  <c r="O21" i="4"/>
  <c r="O20" i="4"/>
  <c r="O19" i="4"/>
  <c r="O18" i="4"/>
  <c r="O16" i="4" s="1"/>
  <c r="O17" i="4"/>
  <c r="N16" i="4"/>
  <c r="M16" i="4"/>
  <c r="L16" i="4"/>
  <c r="K16" i="4"/>
  <c r="J16" i="4"/>
  <c r="I16" i="4"/>
  <c r="O15" i="4"/>
  <c r="O14" i="4"/>
  <c r="I13" i="4"/>
  <c r="I8" i="4" s="1"/>
  <c r="O12" i="4"/>
  <c r="O11" i="4"/>
  <c r="O10" i="4"/>
  <c r="O9" i="4"/>
  <c r="I9" i="4"/>
  <c r="N8" i="4"/>
  <c r="N140" i="4" s="1"/>
  <c r="M8" i="4"/>
  <c r="M140" i="4" s="1"/>
  <c r="L8" i="4"/>
  <c r="L140" i="4" s="1"/>
  <c r="K8" i="4"/>
  <c r="K140" i="4" s="1"/>
  <c r="J8" i="4"/>
  <c r="I21" i="11"/>
  <c r="H21" i="11"/>
  <c r="G21" i="11"/>
  <c r="F21" i="11"/>
  <c r="E21" i="11"/>
  <c r="D21" i="11"/>
  <c r="C21" i="11"/>
  <c r="O8" i="4" l="1"/>
  <c r="O84" i="4"/>
  <c r="O107" i="4"/>
  <c r="O103" i="4" s="1"/>
  <c r="O13" i="4"/>
  <c r="I138" i="4"/>
  <c r="J103" i="4"/>
  <c r="J140" i="4" s="1"/>
  <c r="I27" i="4"/>
  <c r="I140" i="4" s="1"/>
  <c r="O94" i="6"/>
  <c r="N94" i="6"/>
  <c r="M94" i="6"/>
  <c r="L94" i="6"/>
  <c r="K94" i="6"/>
  <c r="J94" i="6"/>
  <c r="I94" i="6"/>
  <c r="O93" i="6"/>
  <c r="O92" i="6"/>
  <c r="O91" i="6"/>
  <c r="O90" i="6"/>
  <c r="O89" i="6"/>
  <c r="O88" i="6"/>
  <c r="O87" i="6"/>
  <c r="O86" i="6"/>
  <c r="O85" i="6"/>
  <c r="O84" i="6"/>
  <c r="O83" i="6"/>
  <c r="O82" i="6"/>
  <c r="O81" i="6"/>
  <c r="O80" i="6"/>
  <c r="O79" i="6"/>
  <c r="O78" i="6"/>
  <c r="O77" i="6"/>
  <c r="O76" i="6"/>
  <c r="O75" i="6"/>
  <c r="O74" i="6"/>
  <c r="O73" i="6"/>
  <c r="O72" i="6"/>
  <c r="O71" i="6"/>
  <c r="O70" i="6"/>
  <c r="O69" i="6"/>
  <c r="O68" i="6"/>
  <c r="K67" i="6"/>
  <c r="J67" i="6"/>
  <c r="O67" i="6" s="1"/>
  <c r="K66" i="6"/>
  <c r="J66" i="6"/>
  <c r="J60" i="6" s="1"/>
  <c r="O65" i="6"/>
  <c r="O64" i="6"/>
  <c r="O63" i="6"/>
  <c r="K62" i="6"/>
  <c r="K60" i="6" s="1"/>
  <c r="J62" i="6"/>
  <c r="O61" i="6"/>
  <c r="N60" i="6"/>
  <c r="M60" i="6"/>
  <c r="L60" i="6"/>
  <c r="I60" i="6"/>
  <c r="O59" i="6"/>
  <c r="O58" i="6"/>
  <c r="O57" i="6"/>
  <c r="O56" i="6"/>
  <c r="O55" i="6"/>
  <c r="O54" i="6"/>
  <c r="O53" i="6"/>
  <c r="O52" i="6"/>
  <c r="O51" i="6"/>
  <c r="O50" i="6"/>
  <c r="O49" i="6"/>
  <c r="J48" i="6"/>
  <c r="O48" i="6" s="1"/>
  <c r="O47" i="6"/>
  <c r="O46" i="6"/>
  <c r="O45" i="6"/>
  <c r="O44" i="6"/>
  <c r="O43" i="6"/>
  <c r="M43" i="6"/>
  <c r="L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N10" i="6"/>
  <c r="N96" i="6" s="1"/>
  <c r="M10" i="6"/>
  <c r="M96" i="6" s="1"/>
  <c r="L10" i="6"/>
  <c r="L96" i="6" s="1"/>
  <c r="K10" i="6"/>
  <c r="J10" i="6"/>
  <c r="I10" i="6"/>
  <c r="I96" i="6" s="1"/>
  <c r="O9" i="6"/>
  <c r="O8" i="6"/>
  <c r="N8" i="6"/>
  <c r="M8" i="6"/>
  <c r="L8" i="6"/>
  <c r="K8" i="6"/>
  <c r="J8" i="6"/>
  <c r="I8" i="6"/>
  <c r="O107" i="5"/>
  <c r="O35" i="5"/>
  <c r="O14" i="5"/>
  <c r="O34" i="5"/>
  <c r="O114" i="5"/>
  <c r="O54" i="5"/>
  <c r="O53" i="5"/>
  <c r="O52" i="5"/>
  <c r="O33" i="5"/>
  <c r="O51" i="5"/>
  <c r="O32" i="5"/>
  <c r="I50" i="5"/>
  <c r="O50" i="5" s="1"/>
  <c r="O106" i="5"/>
  <c r="O13" i="5"/>
  <c r="O12" i="5"/>
  <c r="O49" i="5"/>
  <c r="M48" i="5"/>
  <c r="L48" i="5"/>
  <c r="O56" i="5"/>
  <c r="O47" i="5"/>
  <c r="O71" i="5"/>
  <c r="O31" i="5"/>
  <c r="O30" i="5"/>
  <c r="O11" i="5"/>
  <c r="O105" i="5"/>
  <c r="O104" i="5"/>
  <c r="O103" i="5"/>
  <c r="O102" i="5"/>
  <c r="O29" i="5"/>
  <c r="O46" i="5"/>
  <c r="O10" i="5"/>
  <c r="O45" i="5"/>
  <c r="O44" i="5"/>
  <c r="O9" i="5"/>
  <c r="O101" i="5"/>
  <c r="O43" i="5"/>
  <c r="O42" i="5"/>
  <c r="O41" i="5"/>
  <c r="O40" i="5"/>
  <c r="O39" i="5"/>
  <c r="O28" i="5"/>
  <c r="O113" i="5"/>
  <c r="O38" i="5"/>
  <c r="O99" i="5"/>
  <c r="O98" i="5"/>
  <c r="O17" i="5"/>
  <c r="O16" i="5"/>
  <c r="O97" i="5"/>
  <c r="O96" i="5"/>
  <c r="O70" i="5"/>
  <c r="O26" i="5"/>
  <c r="O69" i="5"/>
  <c r="O95" i="5"/>
  <c r="O94" i="5"/>
  <c r="O93" i="5"/>
  <c r="O25" i="5"/>
  <c r="O68" i="5"/>
  <c r="O74" i="5"/>
  <c r="O37" i="5"/>
  <c r="O73" i="5"/>
  <c r="O67" i="5"/>
  <c r="O92" i="5"/>
  <c r="O24" i="5"/>
  <c r="O23" i="5"/>
  <c r="O66" i="5"/>
  <c r="I22" i="5"/>
  <c r="O22" i="5" s="1"/>
  <c r="O91" i="5"/>
  <c r="O65" i="5"/>
  <c r="O90" i="5"/>
  <c r="O21" i="5"/>
  <c r="O64" i="5"/>
  <c r="O63" i="5"/>
  <c r="O62" i="5"/>
  <c r="O61" i="5"/>
  <c r="O89" i="5"/>
  <c r="O88" i="5"/>
  <c r="O60" i="5"/>
  <c r="O59" i="5"/>
  <c r="O87" i="5"/>
  <c r="O86" i="5"/>
  <c r="O85" i="5"/>
  <c r="O84" i="5"/>
  <c r="O83" i="5"/>
  <c r="O82" i="5"/>
  <c r="O20" i="5"/>
  <c r="O58" i="5"/>
  <c r="O19" i="5"/>
  <c r="I81" i="5"/>
  <c r="O81" i="5" s="1"/>
  <c r="K80" i="5"/>
  <c r="J80" i="5"/>
  <c r="I80" i="5"/>
  <c r="K79" i="5"/>
  <c r="J79" i="5"/>
  <c r="I79" i="5"/>
  <c r="O78" i="5"/>
  <c r="K77" i="5"/>
  <c r="J77" i="5"/>
  <c r="I77" i="5"/>
  <c r="K76" i="5"/>
  <c r="J76" i="5"/>
  <c r="I76" i="5"/>
  <c r="K75" i="5"/>
  <c r="J75" i="5"/>
  <c r="I75" i="5"/>
  <c r="O111" i="5"/>
  <c r="O110" i="5"/>
  <c r="O109" i="5"/>
  <c r="O79" i="5" l="1"/>
  <c r="O76" i="5"/>
  <c r="O75" i="5"/>
  <c r="O80" i="5"/>
  <c r="O77" i="5"/>
  <c r="O140" i="4"/>
  <c r="J96" i="6"/>
  <c r="O10" i="6"/>
  <c r="K96" i="6"/>
  <c r="O62" i="6"/>
  <c r="O60" i="6" s="1"/>
  <c r="O66" i="6"/>
  <c r="O48" i="5"/>
  <c r="G110" i="6" l="1"/>
  <c r="G114" i="6" s="1"/>
  <c r="F109" i="6"/>
  <c r="F113" i="6" s="1"/>
  <c r="G106" i="6"/>
  <c r="F105" i="6"/>
  <c r="N98" i="6"/>
  <c r="N100" i="6" s="1"/>
  <c r="O96" i="6"/>
  <c r="I18" i="10" l="1"/>
  <c r="H18" i="10"/>
  <c r="G18" i="10"/>
  <c r="I17" i="10"/>
  <c r="H17" i="10"/>
  <c r="G17" i="10"/>
  <c r="I16" i="10"/>
  <c r="H16" i="10"/>
  <c r="G16" i="10"/>
  <c r="I15" i="10"/>
  <c r="H15" i="10"/>
  <c r="G15" i="10"/>
  <c r="I14" i="10"/>
  <c r="H14" i="10"/>
  <c r="G14" i="10"/>
  <c r="I13" i="10"/>
  <c r="H13" i="10"/>
  <c r="G13" i="10"/>
  <c r="H12" i="10"/>
  <c r="G12" i="10"/>
  <c r="I11" i="10"/>
  <c r="H11" i="10"/>
  <c r="I10" i="10"/>
  <c r="H10" i="10"/>
  <c r="G10" i="10"/>
  <c r="G9" i="10"/>
  <c r="G7" i="10"/>
  <c r="I6" i="10"/>
  <c r="H6" i="10"/>
  <c r="G6" i="10"/>
  <c r="F5" i="10"/>
  <c r="F19" i="10" s="1"/>
  <c r="F9" i="9"/>
  <c r="I8" i="9"/>
  <c r="H8" i="9"/>
  <c r="G8" i="9"/>
  <c r="I7" i="9"/>
  <c r="H7" i="9"/>
  <c r="G7" i="9"/>
  <c r="I6" i="9"/>
  <c r="H6" i="9"/>
  <c r="G6" i="9"/>
  <c r="I5" i="9"/>
  <c r="H5" i="9"/>
  <c r="G5" i="9"/>
  <c r="I45" i="1"/>
  <c r="H45" i="1"/>
  <c r="G45" i="1"/>
  <c r="I44" i="1"/>
  <c r="H44" i="1"/>
  <c r="G44" i="1"/>
  <c r="I43" i="1"/>
  <c r="H43" i="1"/>
  <c r="G43" i="1"/>
  <c r="I42" i="1"/>
  <c r="H42" i="1"/>
  <c r="G42" i="1"/>
  <c r="I41" i="1"/>
  <c r="H41" i="1"/>
  <c r="G41" i="1"/>
  <c r="I40" i="1"/>
  <c r="H40" i="1"/>
  <c r="G40" i="1"/>
  <c r="I39" i="1"/>
  <c r="H39" i="1"/>
  <c r="G39" i="1"/>
  <c r="I38" i="1"/>
  <c r="H38" i="1"/>
  <c r="G38" i="1"/>
  <c r="I37" i="1"/>
  <c r="H37" i="1"/>
  <c r="G37" i="1"/>
  <c r="G36" i="1"/>
  <c r="I35" i="1"/>
  <c r="H35" i="1"/>
  <c r="G35" i="1"/>
  <c r="H34" i="1"/>
  <c r="I33" i="1"/>
  <c r="H33" i="1"/>
  <c r="F33" i="1"/>
  <c r="G33" i="1" s="1"/>
  <c r="I32" i="1"/>
  <c r="H32" i="1"/>
  <c r="G32" i="1"/>
  <c r="I31" i="1"/>
  <c r="H31" i="1"/>
  <c r="G31" i="1"/>
  <c r="G30" i="1"/>
  <c r="G29" i="1"/>
  <c r="I27" i="1"/>
  <c r="H27" i="1"/>
  <c r="G27" i="1"/>
  <c r="I25" i="1"/>
  <c r="H25" i="1"/>
  <c r="G25" i="1"/>
  <c r="I24" i="1"/>
  <c r="H24" i="1"/>
  <c r="G24" i="1"/>
  <c r="I23" i="1"/>
  <c r="H23" i="1"/>
  <c r="G23" i="1"/>
  <c r="I22" i="1"/>
  <c r="H22" i="1"/>
  <c r="G22" i="1"/>
  <c r="I21" i="1"/>
  <c r="H21" i="1"/>
  <c r="G21" i="1"/>
  <c r="I20" i="1"/>
  <c r="H20" i="1"/>
  <c r="G20" i="1"/>
  <c r="I19" i="1"/>
  <c r="H19" i="1"/>
  <c r="G19" i="1"/>
  <c r="I18" i="1"/>
  <c r="H18" i="1"/>
  <c r="G18" i="1"/>
  <c r="F17" i="1"/>
  <c r="H17" i="1" s="1"/>
  <c r="H16" i="1"/>
  <c r="I15" i="1"/>
  <c r="H15" i="1"/>
  <c r="G15" i="1"/>
  <c r="F14" i="1"/>
  <c r="G13" i="1"/>
  <c r="F12" i="1"/>
  <c r="F11" i="1"/>
  <c r="H11" i="1" s="1"/>
  <c r="H10" i="1"/>
  <c r="F10" i="1"/>
  <c r="I10" i="1" s="1"/>
  <c r="I9" i="1"/>
  <c r="F9" i="1"/>
  <c r="H9" i="1" s="1"/>
  <c r="F8" i="1"/>
  <c r="I8" i="1" s="1"/>
  <c r="I7" i="1"/>
  <c r="F7" i="1"/>
  <c r="H7" i="1" s="1"/>
  <c r="F6" i="1"/>
  <c r="F5" i="1"/>
  <c r="H5" i="1" s="1"/>
  <c r="O73" i="7"/>
  <c r="N73" i="7"/>
  <c r="M73" i="7"/>
  <c r="L73" i="7"/>
  <c r="K73" i="7"/>
  <c r="J73" i="7"/>
  <c r="I73" i="7"/>
  <c r="O72" i="7"/>
  <c r="O71" i="7"/>
  <c r="O70" i="7"/>
  <c r="O69" i="7"/>
  <c r="O68" i="7"/>
  <c r="O67" i="7"/>
  <c r="O66" i="7"/>
  <c r="O65" i="7"/>
  <c r="O64" i="7"/>
  <c r="O63" i="7"/>
  <c r="O62" i="7"/>
  <c r="O61" i="7"/>
  <c r="O60" i="7"/>
  <c r="O59" i="7"/>
  <c r="O58" i="7"/>
  <c r="O57" i="7"/>
  <c r="O56" i="7"/>
  <c r="O55" i="7"/>
  <c r="O49" i="7" s="1"/>
  <c r="O54" i="7"/>
  <c r="O53" i="7"/>
  <c r="O52" i="7"/>
  <c r="O51" i="7"/>
  <c r="O50" i="7"/>
  <c r="N49" i="7"/>
  <c r="M49" i="7"/>
  <c r="L49" i="7"/>
  <c r="K49" i="7"/>
  <c r="J49" i="7"/>
  <c r="I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s="1"/>
  <c r="N12" i="7"/>
  <c r="N75" i="7" s="1"/>
  <c r="M12" i="7"/>
  <c r="M75" i="7" s="1"/>
  <c r="L12" i="7"/>
  <c r="L75" i="7" s="1"/>
  <c r="K12" i="7"/>
  <c r="K75" i="7" s="1"/>
  <c r="J12" i="7"/>
  <c r="J75" i="7" s="1"/>
  <c r="I12" i="7"/>
  <c r="I75" i="7" s="1"/>
  <c r="O11" i="7"/>
  <c r="O8" i="7" s="1"/>
  <c r="O10" i="7"/>
  <c r="O9" i="7"/>
  <c r="N8" i="7"/>
  <c r="M8" i="7"/>
  <c r="L8" i="7"/>
  <c r="K8" i="7"/>
  <c r="J8" i="7"/>
  <c r="I8" i="7"/>
  <c r="I5" i="10" l="1"/>
  <c r="I19" i="10" s="1"/>
  <c r="G5" i="10"/>
  <c r="G19" i="10" s="1"/>
  <c r="H5" i="10"/>
  <c r="H19" i="10" s="1"/>
  <c r="G9" i="9"/>
  <c r="H9" i="9"/>
  <c r="I9" i="9"/>
  <c r="G8" i="1"/>
  <c r="H8" i="1"/>
  <c r="I11" i="1"/>
  <c r="G10" i="1"/>
  <c r="H46" i="1"/>
  <c r="G5" i="1"/>
  <c r="G17" i="1"/>
  <c r="I5" i="1"/>
  <c r="I17" i="1"/>
  <c r="F46" i="1"/>
  <c r="G7" i="1"/>
  <c r="G9" i="1"/>
  <c r="G11" i="1"/>
  <c r="O75" i="7"/>
  <c r="I20" i="10" l="1"/>
  <c r="I10" i="9"/>
  <c r="I46" i="1"/>
  <c r="G46" i="1"/>
  <c r="I47" i="1" l="1"/>
  <c r="O66" i="8" l="1"/>
  <c r="N66" i="8"/>
  <c r="M66" i="8"/>
  <c r="L66" i="8"/>
  <c r="K66" i="8"/>
  <c r="J66" i="8"/>
  <c r="I66" i="8"/>
  <c r="O65" i="8"/>
  <c r="O64" i="8"/>
  <c r="O63" i="8"/>
  <c r="O62" i="8"/>
  <c r="O61" i="8"/>
  <c r="I60" i="8"/>
  <c r="O60" i="8" s="1"/>
  <c r="O59" i="8"/>
  <c r="O58" i="8"/>
  <c r="O57" i="8"/>
  <c r="O51" i="8" s="1"/>
  <c r="O56" i="8"/>
  <c r="O55" i="8"/>
  <c r="O54" i="8"/>
  <c r="O53" i="8"/>
  <c r="O52" i="8"/>
  <c r="N51" i="8"/>
  <c r="M51" i="8"/>
  <c r="L51" i="8"/>
  <c r="K51" i="8"/>
  <c r="J51" i="8"/>
  <c r="O50" i="8"/>
  <c r="O49" i="8"/>
  <c r="O48" i="8"/>
  <c r="O47" i="8"/>
  <c r="O46" i="8"/>
  <c r="O45" i="8"/>
  <c r="O44" i="8"/>
  <c r="O43" i="8"/>
  <c r="O42" i="8"/>
  <c r="O41" i="8"/>
  <c r="O40" i="8"/>
  <c r="O39" i="8"/>
  <c r="O38" i="8"/>
  <c r="O37" i="8"/>
  <c r="O36" i="8"/>
  <c r="O35" i="8"/>
  <c r="O34" i="8"/>
  <c r="O33" i="8"/>
  <c r="O32" i="8"/>
  <c r="K31" i="8"/>
  <c r="K8" i="8" s="1"/>
  <c r="K68" i="8" s="1"/>
  <c r="J31" i="8"/>
  <c r="I31" i="8"/>
  <c r="O30" i="8"/>
  <c r="O29" i="8"/>
  <c r="O28" i="8"/>
  <c r="O27" i="8"/>
  <c r="O26" i="8"/>
  <c r="O25" i="8"/>
  <c r="O24" i="8"/>
  <c r="O23" i="8"/>
  <c r="O22" i="8"/>
  <c r="O21" i="8"/>
  <c r="O20" i="8"/>
  <c r="O19" i="8"/>
  <c r="O18" i="8"/>
  <c r="O17" i="8"/>
  <c r="O16" i="8"/>
  <c r="O15" i="8"/>
  <c r="O14" i="8"/>
  <c r="O13" i="8"/>
  <c r="O12" i="8"/>
  <c r="O11" i="8"/>
  <c r="O10" i="8"/>
  <c r="O9" i="8"/>
  <c r="N8" i="8"/>
  <c r="N68" i="8" s="1"/>
  <c r="M8" i="8"/>
  <c r="M68" i="8" s="1"/>
  <c r="L8" i="8"/>
  <c r="J8" i="8"/>
  <c r="J68" i="8" s="1"/>
  <c r="I8" i="8"/>
  <c r="O31" i="8" l="1"/>
  <c r="O8" i="8"/>
  <c r="O68" i="8" s="1"/>
  <c r="L68" i="8"/>
  <c r="I51" i="8"/>
  <c r="I68" i="8" s="1"/>
  <c r="F53" i="2"/>
  <c r="V50" i="2"/>
  <c r="U50" i="2"/>
  <c r="T50" i="2"/>
  <c r="V49" i="2"/>
  <c r="U49" i="2"/>
  <c r="T49" i="2"/>
  <c r="F48" i="2"/>
  <c r="V47" i="2"/>
  <c r="U47" i="2"/>
  <c r="T47" i="2"/>
  <c r="V43" i="2"/>
  <c r="U43" i="2"/>
  <c r="T43" i="2"/>
  <c r="V42" i="2"/>
  <c r="U42" i="2"/>
  <c r="T42" i="2"/>
  <c r="V41" i="2"/>
  <c r="U41" i="2"/>
  <c r="T41" i="2"/>
  <c r="V40" i="2"/>
  <c r="U40" i="2"/>
  <c r="T40" i="2"/>
  <c r="V39" i="2"/>
  <c r="U39" i="2"/>
  <c r="T39" i="2"/>
  <c r="R53" i="2"/>
  <c r="P53" i="2"/>
  <c r="N53" i="2"/>
  <c r="K53" i="2"/>
  <c r="J53" i="2"/>
  <c r="I53" i="2"/>
  <c r="V51" i="2"/>
  <c r="U51" i="2"/>
  <c r="T51" i="2"/>
  <c r="V38" i="2"/>
  <c r="U38" i="2"/>
  <c r="T38" i="2"/>
  <c r="V37" i="2"/>
  <c r="U37" i="2"/>
  <c r="T37" i="2"/>
  <c r="V36" i="2"/>
  <c r="U36" i="2"/>
  <c r="T36" i="2"/>
  <c r="V35" i="2"/>
  <c r="U35" i="2"/>
  <c r="T35" i="2"/>
  <c r="V34" i="2"/>
  <c r="U34" i="2"/>
  <c r="T34" i="2"/>
  <c r="V33" i="2"/>
  <c r="U33" i="2"/>
  <c r="T33" i="2"/>
  <c r="V32" i="2"/>
  <c r="T32" i="2"/>
  <c r="V31" i="2"/>
  <c r="U31" i="2"/>
  <c r="T31" i="2"/>
  <c r="V30" i="2"/>
  <c r="U30" i="2"/>
  <c r="T30" i="2"/>
  <c r="V29" i="2"/>
  <c r="U29" i="2"/>
  <c r="T29" i="2"/>
  <c r="V28" i="2"/>
  <c r="U28" i="2"/>
  <c r="T28" i="2"/>
  <c r="V27" i="2"/>
  <c r="U27" i="2"/>
  <c r="T27" i="2"/>
  <c r="V26" i="2"/>
  <c r="U26" i="2"/>
  <c r="T26" i="2"/>
  <c r="V25" i="2"/>
  <c r="U25" i="2"/>
  <c r="T25" i="2"/>
  <c r="V24" i="2"/>
  <c r="U24" i="2"/>
  <c r="T24" i="2"/>
  <c r="V23" i="2"/>
  <c r="U23" i="2"/>
  <c r="T23" i="2"/>
  <c r="V22" i="2"/>
  <c r="U22" i="2"/>
  <c r="T22" i="2"/>
  <c r="V21" i="2"/>
  <c r="U21" i="2"/>
  <c r="T21" i="2"/>
  <c r="V20" i="2"/>
  <c r="U20" i="2"/>
  <c r="T20" i="2"/>
  <c r="V19" i="2"/>
  <c r="U19" i="2"/>
  <c r="T19" i="2"/>
  <c r="V18" i="2"/>
  <c r="U18" i="2"/>
  <c r="T18" i="2"/>
  <c r="V17" i="2"/>
  <c r="U17" i="2"/>
  <c r="T17" i="2"/>
  <c r="V16" i="2"/>
  <c r="U16" i="2"/>
  <c r="T16" i="2"/>
  <c r="V15" i="2"/>
  <c r="U15" i="2"/>
  <c r="T15" i="2"/>
  <c r="V14" i="2"/>
  <c r="U14" i="2"/>
  <c r="T14" i="2"/>
  <c r="V13" i="2"/>
  <c r="U13" i="2"/>
  <c r="T13" i="2"/>
  <c r="V12" i="2"/>
  <c r="U12" i="2"/>
  <c r="T12" i="2"/>
  <c r="V11" i="2"/>
  <c r="U11" i="2"/>
  <c r="T11" i="2"/>
  <c r="V10" i="2"/>
  <c r="U10" i="2"/>
  <c r="T10" i="2"/>
  <c r="V9" i="2"/>
  <c r="U9" i="2"/>
  <c r="T9" i="2"/>
  <c r="V8" i="2"/>
  <c r="U8" i="2"/>
  <c r="T8" i="2"/>
  <c r="V7" i="2"/>
  <c r="U7" i="2"/>
  <c r="T7" i="2"/>
  <c r="V6" i="2"/>
  <c r="U6" i="2"/>
  <c r="T6" i="2"/>
  <c r="U5" i="2"/>
  <c r="U53" i="2" l="1"/>
  <c r="V53" i="2"/>
  <c r="K54" i="2"/>
  <c r="T53" i="2"/>
</calcChain>
</file>

<file path=xl/comments1.xml><?xml version="1.0" encoding="utf-8"?>
<comments xmlns="http://schemas.openxmlformats.org/spreadsheetml/2006/main">
  <authors>
    <author>Lenovo</author>
  </authors>
  <commentList>
    <comment ref="F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 ref="H10" authorId="0" shapeId="0">
      <text>
        <r>
          <rPr>
            <b/>
            <sz val="9"/>
            <color indexed="81"/>
            <rFont val="Tahoma"/>
            <family val="2"/>
          </rPr>
          <t>Lenovo:</t>
        </r>
        <r>
          <rPr>
            <sz val="9"/>
            <color indexed="81"/>
            <rFont val="Tahoma"/>
            <family val="2"/>
          </rPr>
          <t xml:space="preserve">
ปรับลดเนื่องจากตรวจสอบแล้วเป็นทุนวิจัยสิ้นสุดปี 66</t>
        </r>
      </text>
    </comment>
  </commentList>
</comments>
</file>

<file path=xl/comments2.xml><?xml version="1.0" encoding="utf-8"?>
<comments xmlns="http://schemas.openxmlformats.org/spreadsheetml/2006/main">
  <authors>
    <author>TSU</author>
  </authors>
  <commentList>
    <comment ref="U5" authorId="0" shapeId="0">
      <text>
        <r>
          <rPr>
            <b/>
            <sz val="9"/>
            <color indexed="81"/>
            <rFont val="Tahoma"/>
            <family val="2"/>
          </rPr>
          <t>1.AP01110000060020010=28,000.00 บาท
2.AP01110000060020012=32,000.00 บาท</t>
        </r>
      </text>
    </comment>
    <comment ref="G12"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G13" authorId="0" shapeId="0">
      <text>
        <r>
          <rPr>
            <sz val="9"/>
            <color indexed="81"/>
            <rFont val="Tahoma"/>
            <family val="2"/>
          </rPr>
          <t xml:space="preserve">เงินโอนเข้าบัญชี 607,000 บาท ในวันที่ 16/11/59 แต่ออกใบเสร็จรอบที่ 1 = 203,000 บาท ในวันที่ 18/11/59
</t>
        </r>
      </text>
    </comment>
    <comment ref="F18" authorId="0" shapeId="0">
      <text>
        <r>
          <rPr>
            <b/>
            <sz val="9"/>
            <color indexed="81"/>
            <rFont val="Tahoma"/>
            <family val="2"/>
          </rPr>
          <t>JV02050200360120132</t>
        </r>
      </text>
    </comment>
    <comment ref="F19" authorId="0" shapeId="0">
      <text>
        <r>
          <rPr>
            <b/>
            <sz val="9"/>
            <color indexed="81"/>
            <rFont val="Tahoma"/>
            <family val="2"/>
          </rPr>
          <t xml:space="preserve">JV02050200360120150
</t>
        </r>
      </text>
    </comment>
  </commentList>
</comments>
</file>

<file path=xl/comments3.xml><?xml version="1.0" encoding="utf-8"?>
<comments xmlns="http://schemas.openxmlformats.org/spreadsheetml/2006/main">
  <authors>
    <author>TSU</author>
  </authors>
  <commentList>
    <comment ref="H4" authorId="0" shapeId="0">
      <text>
        <r>
          <rPr>
            <b/>
            <sz val="9"/>
            <color indexed="81"/>
            <rFont val="Tahoma"/>
            <family val="2"/>
          </rPr>
          <t>TSU:</t>
        </r>
        <r>
          <rPr>
            <sz val="9"/>
            <color indexed="81"/>
            <rFont val="Tahoma"/>
            <family val="2"/>
          </rPr>
          <t xml:space="preserve">
RV02050200359100008</t>
        </r>
      </text>
    </comment>
    <comment ref="I4" authorId="0" shapeId="0">
      <text>
        <r>
          <rPr>
            <b/>
            <sz val="9"/>
            <color indexed="81"/>
            <rFont val="Tahoma"/>
            <family val="2"/>
          </rPr>
          <t>TSU:</t>
        </r>
        <r>
          <rPr>
            <sz val="9"/>
            <color indexed="81"/>
            <rFont val="Tahoma"/>
            <family val="2"/>
          </rPr>
          <t xml:space="preserve">
RV02050200359100009
</t>
        </r>
      </text>
    </comment>
    <comment ref="G5" authorId="0" shapeId="0">
      <text>
        <r>
          <rPr>
            <b/>
            <sz val="9"/>
            <color indexed="81"/>
            <rFont val="Tahoma"/>
            <family val="2"/>
          </rPr>
          <t>TSU:</t>
        </r>
        <r>
          <rPr>
            <sz val="9"/>
            <color indexed="81"/>
            <rFont val="Tahoma"/>
            <family val="2"/>
          </rPr>
          <t xml:space="preserve">
RV02050200359100086</t>
        </r>
      </text>
    </comment>
    <comment ref="H5" authorId="0" shapeId="0">
      <text>
        <r>
          <rPr>
            <b/>
            <sz val="9"/>
            <color indexed="81"/>
            <rFont val="Tahoma"/>
            <family val="2"/>
          </rPr>
          <t>TSU:</t>
        </r>
        <r>
          <rPr>
            <sz val="9"/>
            <color indexed="81"/>
            <rFont val="Tahoma"/>
            <family val="2"/>
          </rPr>
          <t xml:space="preserve">
RV02050200359100086</t>
        </r>
      </text>
    </comment>
    <comment ref="I5" authorId="0" shapeId="0">
      <text>
        <r>
          <rPr>
            <b/>
            <sz val="9"/>
            <color indexed="81"/>
            <rFont val="Tahoma"/>
            <family val="2"/>
          </rPr>
          <t>TSU:</t>
        </r>
        <r>
          <rPr>
            <sz val="9"/>
            <color indexed="81"/>
            <rFont val="Tahoma"/>
            <family val="2"/>
          </rPr>
          <t xml:space="preserve">
RV02050200359100087
</t>
        </r>
      </text>
    </comment>
    <comment ref="H6" authorId="0" shapeId="0">
      <text>
        <r>
          <rPr>
            <b/>
            <sz val="9"/>
            <color indexed="81"/>
            <rFont val="Tahoma"/>
            <family val="2"/>
          </rPr>
          <t>TSU:</t>
        </r>
        <r>
          <rPr>
            <sz val="9"/>
            <color indexed="81"/>
            <rFont val="Tahoma"/>
            <family val="2"/>
          </rPr>
          <t xml:space="preserve">
RV02050200359100117</t>
        </r>
      </text>
    </comment>
    <comment ref="I6" authorId="0" shapeId="0">
      <text>
        <r>
          <rPr>
            <b/>
            <sz val="9"/>
            <color indexed="81"/>
            <rFont val="Tahoma"/>
            <family val="2"/>
          </rPr>
          <t>TSU:</t>
        </r>
        <r>
          <rPr>
            <sz val="9"/>
            <color indexed="81"/>
            <rFont val="Tahoma"/>
            <family val="2"/>
          </rPr>
          <t xml:space="preserve">
RV02050200359100118
</t>
        </r>
      </text>
    </comment>
    <comment ref="G7" authorId="0" shapeId="0">
      <text>
        <r>
          <rPr>
            <b/>
            <sz val="9"/>
            <color indexed="81"/>
            <rFont val="Tahoma"/>
            <family val="2"/>
          </rPr>
          <t>TSU:</t>
        </r>
        <r>
          <rPr>
            <sz val="9"/>
            <color indexed="81"/>
            <rFont val="Tahoma"/>
            <family val="2"/>
          </rPr>
          <t xml:space="preserve">
RV02050200359100153</t>
        </r>
      </text>
    </comment>
    <comment ref="H7" authorId="0" shapeId="0">
      <text>
        <r>
          <rPr>
            <b/>
            <sz val="9"/>
            <color indexed="81"/>
            <rFont val="Tahoma"/>
            <family val="2"/>
          </rPr>
          <t>TSU:</t>
        </r>
        <r>
          <rPr>
            <sz val="9"/>
            <color indexed="81"/>
            <rFont val="Tahoma"/>
            <family val="2"/>
          </rPr>
          <t xml:space="preserve">
RV02050200359100153</t>
        </r>
      </text>
    </comment>
    <comment ref="I7" authorId="0" shapeId="0">
      <text>
        <r>
          <rPr>
            <b/>
            <sz val="9"/>
            <color indexed="81"/>
            <rFont val="Tahoma"/>
            <family val="2"/>
          </rPr>
          <t>TSU:</t>
        </r>
        <r>
          <rPr>
            <sz val="9"/>
            <color indexed="81"/>
            <rFont val="Tahoma"/>
            <family val="2"/>
          </rPr>
          <t xml:space="preserve">
RV02050200359100154</t>
        </r>
      </text>
    </comment>
    <comment ref="G8" authorId="0" shapeId="0">
      <text>
        <r>
          <rPr>
            <b/>
            <sz val="9"/>
            <color indexed="81"/>
            <rFont val="Tahoma"/>
            <family val="2"/>
          </rPr>
          <t>TSU:</t>
        </r>
        <r>
          <rPr>
            <sz val="9"/>
            <color indexed="81"/>
            <rFont val="Tahoma"/>
            <family val="2"/>
          </rPr>
          <t xml:space="preserve">
RV02050200359110095</t>
        </r>
      </text>
    </comment>
    <comment ref="H8" authorId="0" shapeId="0">
      <text>
        <r>
          <rPr>
            <b/>
            <sz val="9"/>
            <color indexed="81"/>
            <rFont val="Tahoma"/>
            <family val="2"/>
          </rPr>
          <t>TSU:</t>
        </r>
        <r>
          <rPr>
            <sz val="9"/>
            <color indexed="81"/>
            <rFont val="Tahoma"/>
            <family val="2"/>
          </rPr>
          <t xml:space="preserve">
RV02050200359110095</t>
        </r>
      </text>
    </comment>
    <comment ref="I8" authorId="0" shapeId="0">
      <text>
        <r>
          <rPr>
            <b/>
            <sz val="9"/>
            <color indexed="81"/>
            <rFont val="Tahoma"/>
            <family val="2"/>
          </rPr>
          <t>TSU:</t>
        </r>
        <r>
          <rPr>
            <sz val="9"/>
            <color indexed="81"/>
            <rFont val="Tahoma"/>
            <family val="2"/>
          </rPr>
          <t xml:space="preserve">
RV02050200359110096</t>
        </r>
      </text>
    </comment>
    <comment ref="G9" authorId="0" shapeId="0">
      <text>
        <r>
          <rPr>
            <b/>
            <sz val="9"/>
            <color indexed="81"/>
            <rFont val="Tahoma"/>
            <family val="2"/>
          </rPr>
          <t>TSU:</t>
        </r>
        <r>
          <rPr>
            <sz val="9"/>
            <color indexed="81"/>
            <rFont val="Tahoma"/>
            <family val="2"/>
          </rPr>
          <t xml:space="preserve">
RV02050200359110132
</t>
        </r>
      </text>
    </comment>
    <comment ref="H9" authorId="0" shapeId="0">
      <text>
        <r>
          <rPr>
            <b/>
            <sz val="9"/>
            <color indexed="81"/>
            <rFont val="Tahoma"/>
            <family val="2"/>
          </rPr>
          <t>TSU:</t>
        </r>
        <r>
          <rPr>
            <sz val="9"/>
            <color indexed="81"/>
            <rFont val="Tahoma"/>
            <family val="2"/>
          </rPr>
          <t xml:space="preserve">
RV02050200359110132</t>
        </r>
      </text>
    </comment>
    <comment ref="I9" authorId="0" shapeId="0">
      <text>
        <r>
          <rPr>
            <b/>
            <sz val="9"/>
            <color indexed="81"/>
            <rFont val="Tahoma"/>
            <family val="2"/>
          </rPr>
          <t>TSU:</t>
        </r>
        <r>
          <rPr>
            <sz val="9"/>
            <color indexed="81"/>
            <rFont val="Tahoma"/>
            <family val="2"/>
          </rPr>
          <t xml:space="preserve">
RV02050200359110133</t>
        </r>
      </text>
    </comment>
    <comment ref="G10" authorId="0" shapeId="0">
      <text>
        <r>
          <rPr>
            <b/>
            <sz val="9"/>
            <color indexed="81"/>
            <rFont val="Tahoma"/>
            <family val="2"/>
          </rPr>
          <t>TSU:</t>
        </r>
        <r>
          <rPr>
            <sz val="9"/>
            <color indexed="81"/>
            <rFont val="Tahoma"/>
            <family val="2"/>
          </rPr>
          <t xml:space="preserve">
RV02050200359110230
</t>
        </r>
      </text>
    </comment>
    <comment ref="H10" authorId="0" shapeId="0">
      <text>
        <r>
          <rPr>
            <b/>
            <sz val="9"/>
            <color indexed="81"/>
            <rFont val="Tahoma"/>
            <family val="2"/>
          </rPr>
          <t>TSU:</t>
        </r>
        <r>
          <rPr>
            <sz val="9"/>
            <color indexed="81"/>
            <rFont val="Tahoma"/>
            <family val="2"/>
          </rPr>
          <t xml:space="preserve">
RV02050200359110230
</t>
        </r>
      </text>
    </comment>
    <comment ref="I10" authorId="0" shapeId="0">
      <text>
        <r>
          <rPr>
            <b/>
            <sz val="9"/>
            <color indexed="81"/>
            <rFont val="Tahoma"/>
            <family val="2"/>
          </rPr>
          <t>TSU:</t>
        </r>
        <r>
          <rPr>
            <sz val="9"/>
            <color indexed="81"/>
            <rFont val="Tahoma"/>
            <family val="2"/>
          </rPr>
          <t xml:space="preserve">
RV02050200359110231</t>
        </r>
      </text>
    </comment>
    <comment ref="G11" authorId="0" shapeId="0">
      <text>
        <r>
          <rPr>
            <b/>
            <sz val="9"/>
            <color indexed="81"/>
            <rFont val="Tahoma"/>
            <family val="2"/>
          </rPr>
          <t>TSU:</t>
        </r>
        <r>
          <rPr>
            <sz val="9"/>
            <color indexed="81"/>
            <rFont val="Tahoma"/>
            <family val="2"/>
          </rPr>
          <t xml:space="preserve">
RV02050200359120190</t>
        </r>
      </text>
    </comment>
    <comment ref="H11" authorId="0" shapeId="0">
      <text>
        <r>
          <rPr>
            <b/>
            <sz val="9"/>
            <color indexed="81"/>
            <rFont val="Tahoma"/>
            <family val="2"/>
          </rPr>
          <t>TSU:</t>
        </r>
        <r>
          <rPr>
            <sz val="9"/>
            <color indexed="81"/>
            <rFont val="Tahoma"/>
            <family val="2"/>
          </rPr>
          <t xml:space="preserve">
RV02050200359120190</t>
        </r>
      </text>
    </comment>
    <comment ref="I11" authorId="0" shapeId="0">
      <text>
        <r>
          <rPr>
            <b/>
            <sz val="9"/>
            <color indexed="81"/>
            <rFont val="Tahoma"/>
            <family val="2"/>
          </rPr>
          <t>TSU:</t>
        </r>
        <r>
          <rPr>
            <sz val="9"/>
            <color indexed="81"/>
            <rFont val="Tahoma"/>
            <family val="2"/>
          </rPr>
          <t xml:space="preserve">
RV02050200359120191</t>
        </r>
      </text>
    </comment>
    <comment ref="G12" authorId="0" shapeId="0">
      <text>
        <r>
          <rPr>
            <b/>
            <sz val="9"/>
            <color indexed="81"/>
            <rFont val="Tahoma"/>
            <family val="2"/>
          </rPr>
          <t>TSU:</t>
        </r>
        <r>
          <rPr>
            <sz val="9"/>
            <color indexed="81"/>
            <rFont val="Tahoma"/>
            <family val="2"/>
          </rPr>
          <t xml:space="preserve">
RV02050200359120223</t>
        </r>
      </text>
    </comment>
    <comment ref="H12" authorId="0" shapeId="0">
      <text>
        <r>
          <rPr>
            <b/>
            <sz val="9"/>
            <color indexed="81"/>
            <rFont val="Tahoma"/>
            <family val="2"/>
          </rPr>
          <t>TSU:</t>
        </r>
        <r>
          <rPr>
            <sz val="9"/>
            <color indexed="81"/>
            <rFont val="Tahoma"/>
            <family val="2"/>
          </rPr>
          <t xml:space="preserve">
RV02050200359120223</t>
        </r>
      </text>
    </comment>
    <comment ref="I12" authorId="0" shapeId="0">
      <text>
        <r>
          <rPr>
            <b/>
            <sz val="9"/>
            <color indexed="81"/>
            <rFont val="Tahoma"/>
            <family val="2"/>
          </rPr>
          <t>TSU:</t>
        </r>
        <r>
          <rPr>
            <sz val="9"/>
            <color indexed="81"/>
            <rFont val="Tahoma"/>
            <family val="2"/>
          </rPr>
          <t xml:space="preserve">
RV02050200359120224</t>
        </r>
      </text>
    </comment>
    <comment ref="G13" authorId="0" shapeId="0">
      <text>
        <r>
          <rPr>
            <b/>
            <sz val="9"/>
            <color indexed="81"/>
            <rFont val="Tahoma"/>
            <family val="2"/>
          </rPr>
          <t>TSU:</t>
        </r>
        <r>
          <rPr>
            <sz val="9"/>
            <color indexed="81"/>
            <rFont val="Tahoma"/>
            <family val="2"/>
          </rPr>
          <t xml:space="preserve">
RV02050200359120259</t>
        </r>
      </text>
    </comment>
    <comment ref="G14" authorId="0" shapeId="0">
      <text>
        <r>
          <rPr>
            <b/>
            <sz val="9"/>
            <color indexed="81"/>
            <rFont val="Tahoma"/>
            <family val="2"/>
          </rPr>
          <t>TSU:</t>
        </r>
        <r>
          <rPr>
            <sz val="9"/>
            <color indexed="81"/>
            <rFont val="Tahoma"/>
            <family val="2"/>
          </rPr>
          <t xml:space="preserve">
RV02050200359120311</t>
        </r>
      </text>
    </comment>
    <comment ref="H14" authorId="0" shapeId="0">
      <text>
        <r>
          <rPr>
            <b/>
            <sz val="9"/>
            <color indexed="81"/>
            <rFont val="Tahoma"/>
            <family val="2"/>
          </rPr>
          <t>TSU:</t>
        </r>
        <r>
          <rPr>
            <sz val="9"/>
            <color indexed="81"/>
            <rFont val="Tahoma"/>
            <family val="2"/>
          </rPr>
          <t xml:space="preserve">
RV02050200359120311</t>
        </r>
      </text>
    </comment>
    <comment ref="I14" authorId="0" shapeId="0">
      <text>
        <r>
          <rPr>
            <b/>
            <sz val="9"/>
            <color indexed="81"/>
            <rFont val="Tahoma"/>
            <family val="2"/>
          </rPr>
          <t>TSU:</t>
        </r>
        <r>
          <rPr>
            <sz val="9"/>
            <color indexed="81"/>
            <rFont val="Tahoma"/>
            <family val="2"/>
          </rPr>
          <t xml:space="preserve">
RV02050200359120312
</t>
        </r>
      </text>
    </comment>
    <comment ref="G15" authorId="0" shapeId="0">
      <text>
        <r>
          <rPr>
            <b/>
            <sz val="9"/>
            <color indexed="81"/>
            <rFont val="Tahoma"/>
            <family val="2"/>
          </rPr>
          <t>TSU:</t>
        </r>
        <r>
          <rPr>
            <sz val="9"/>
            <color indexed="81"/>
            <rFont val="Tahoma"/>
            <family val="2"/>
          </rPr>
          <t xml:space="preserve">
JV02050200359010068</t>
        </r>
      </text>
    </comment>
    <comment ref="I15" authorId="0" shapeId="0">
      <text>
        <r>
          <rPr>
            <b/>
            <sz val="9"/>
            <color indexed="81"/>
            <rFont val="Tahoma"/>
            <family val="2"/>
          </rPr>
          <t>TSU:</t>
        </r>
        <r>
          <rPr>
            <sz val="9"/>
            <color indexed="81"/>
            <rFont val="Tahoma"/>
            <family val="2"/>
          </rPr>
          <t xml:space="preserve">
JV02050200359010069</t>
        </r>
      </text>
    </comment>
    <comment ref="H16" authorId="0" shapeId="0">
      <text>
        <r>
          <rPr>
            <b/>
            <sz val="9"/>
            <color indexed="81"/>
            <rFont val="Tahoma"/>
            <family val="2"/>
          </rPr>
          <t>TSU:</t>
        </r>
        <r>
          <rPr>
            <sz val="9"/>
            <color indexed="81"/>
            <rFont val="Tahoma"/>
            <family val="2"/>
          </rPr>
          <t xml:space="preserve">
RV02050200359010024</t>
        </r>
      </text>
    </comment>
    <comment ref="G17" authorId="0" shapeId="0">
      <text>
        <r>
          <rPr>
            <b/>
            <sz val="9"/>
            <color indexed="81"/>
            <rFont val="Tahoma"/>
            <family val="2"/>
          </rPr>
          <t>TSU:</t>
        </r>
        <r>
          <rPr>
            <sz val="9"/>
            <color indexed="81"/>
            <rFont val="Tahoma"/>
            <family val="2"/>
          </rPr>
          <t xml:space="preserve">
RV02050200359010077</t>
        </r>
      </text>
    </comment>
    <comment ref="H17" authorId="0" shapeId="0">
      <text>
        <r>
          <rPr>
            <b/>
            <sz val="9"/>
            <color indexed="81"/>
            <rFont val="Tahoma"/>
            <family val="2"/>
          </rPr>
          <t>TSU:</t>
        </r>
        <r>
          <rPr>
            <sz val="9"/>
            <color indexed="81"/>
            <rFont val="Tahoma"/>
            <family val="2"/>
          </rPr>
          <t xml:space="preserve">
RV02050200359010077</t>
        </r>
      </text>
    </comment>
    <comment ref="I17" authorId="0" shapeId="0">
      <text>
        <r>
          <rPr>
            <b/>
            <sz val="9"/>
            <color indexed="81"/>
            <rFont val="Tahoma"/>
            <family val="2"/>
          </rPr>
          <t>TSU:</t>
        </r>
        <r>
          <rPr>
            <sz val="9"/>
            <color indexed="81"/>
            <rFont val="Tahoma"/>
            <family val="2"/>
          </rPr>
          <t xml:space="preserve">
RV02050200359010078
</t>
        </r>
      </text>
    </comment>
    <comment ref="G18" authorId="0" shapeId="0">
      <text>
        <r>
          <rPr>
            <b/>
            <sz val="9"/>
            <color indexed="81"/>
            <rFont val="Tahoma"/>
            <family val="2"/>
          </rPr>
          <t>TSU:</t>
        </r>
        <r>
          <rPr>
            <sz val="9"/>
            <color indexed="81"/>
            <rFont val="Tahoma"/>
            <family val="2"/>
          </rPr>
          <t xml:space="preserve">
RV02050200359010192</t>
        </r>
      </text>
    </comment>
    <comment ref="H18" authorId="0" shapeId="0">
      <text>
        <r>
          <rPr>
            <b/>
            <sz val="9"/>
            <color indexed="81"/>
            <rFont val="Tahoma"/>
            <family val="2"/>
          </rPr>
          <t>TSU:</t>
        </r>
        <r>
          <rPr>
            <sz val="9"/>
            <color indexed="81"/>
            <rFont val="Tahoma"/>
            <family val="2"/>
          </rPr>
          <t xml:space="preserve">
RV02050200359010192</t>
        </r>
      </text>
    </comment>
    <comment ref="I18" authorId="0" shapeId="0">
      <text>
        <r>
          <rPr>
            <b/>
            <sz val="9"/>
            <color indexed="81"/>
            <rFont val="Tahoma"/>
            <family val="2"/>
          </rPr>
          <t>TSU:</t>
        </r>
        <r>
          <rPr>
            <sz val="9"/>
            <color indexed="81"/>
            <rFont val="Tahoma"/>
            <family val="2"/>
          </rPr>
          <t xml:space="preserve">
RV02050200359010193</t>
        </r>
      </text>
    </comment>
    <comment ref="G19" authorId="0" shapeId="0">
      <text>
        <r>
          <rPr>
            <b/>
            <sz val="9"/>
            <color indexed="81"/>
            <rFont val="Tahoma"/>
            <family val="2"/>
          </rPr>
          <t>TSU:</t>
        </r>
        <r>
          <rPr>
            <sz val="9"/>
            <color indexed="81"/>
            <rFont val="Tahoma"/>
            <family val="2"/>
          </rPr>
          <t xml:space="preserve">
RV02050200359010208</t>
        </r>
      </text>
    </comment>
    <comment ref="H19" authorId="0" shapeId="0">
      <text>
        <r>
          <rPr>
            <b/>
            <sz val="9"/>
            <color indexed="81"/>
            <rFont val="Tahoma"/>
            <family val="2"/>
          </rPr>
          <t>TSU:</t>
        </r>
        <r>
          <rPr>
            <sz val="9"/>
            <color indexed="81"/>
            <rFont val="Tahoma"/>
            <family val="2"/>
          </rPr>
          <t xml:space="preserve">
RV02050200359010208</t>
        </r>
      </text>
    </comment>
    <comment ref="I19" authorId="0" shapeId="0">
      <text>
        <r>
          <rPr>
            <b/>
            <sz val="9"/>
            <color indexed="81"/>
            <rFont val="Tahoma"/>
            <family val="2"/>
          </rPr>
          <t>TSU:</t>
        </r>
        <r>
          <rPr>
            <sz val="9"/>
            <color indexed="81"/>
            <rFont val="Tahoma"/>
            <family val="2"/>
          </rPr>
          <t xml:space="preserve">
RV02050200359010209</t>
        </r>
      </text>
    </comment>
    <comment ref="G20" authorId="0" shapeId="0">
      <text>
        <r>
          <rPr>
            <b/>
            <sz val="9"/>
            <color indexed="81"/>
            <rFont val="Tahoma"/>
            <family val="2"/>
          </rPr>
          <t>TSU:</t>
        </r>
        <r>
          <rPr>
            <sz val="9"/>
            <color indexed="81"/>
            <rFont val="Tahoma"/>
            <family val="2"/>
          </rPr>
          <t xml:space="preserve">
AP02050200359020205</t>
        </r>
      </text>
    </comment>
    <comment ref="H20" authorId="0" shapeId="0">
      <text>
        <r>
          <rPr>
            <b/>
            <sz val="9"/>
            <color indexed="81"/>
            <rFont val="Tahoma"/>
            <family val="2"/>
          </rPr>
          <t>TSU:</t>
        </r>
        <r>
          <rPr>
            <sz val="9"/>
            <color indexed="81"/>
            <rFont val="Tahoma"/>
            <family val="2"/>
          </rPr>
          <t xml:space="preserve">
AP02050200359020205</t>
        </r>
      </text>
    </comment>
    <comment ref="I20" authorId="0" shapeId="0">
      <text>
        <r>
          <rPr>
            <b/>
            <sz val="9"/>
            <color indexed="81"/>
            <rFont val="Tahoma"/>
            <family val="2"/>
          </rPr>
          <t>TSU:</t>
        </r>
        <r>
          <rPr>
            <sz val="9"/>
            <color indexed="81"/>
            <rFont val="Tahoma"/>
            <family val="2"/>
          </rPr>
          <t xml:space="preserve">
AP02050200359020206</t>
        </r>
      </text>
    </comment>
    <comment ref="G21" authorId="0" shapeId="0">
      <text>
        <r>
          <rPr>
            <b/>
            <sz val="9"/>
            <color indexed="81"/>
            <rFont val="Tahoma"/>
            <family val="2"/>
          </rPr>
          <t>TSU:</t>
        </r>
        <r>
          <rPr>
            <sz val="9"/>
            <color indexed="81"/>
            <rFont val="Tahoma"/>
            <family val="2"/>
          </rPr>
          <t xml:space="preserve">
RV02050200359030100</t>
        </r>
      </text>
    </comment>
    <comment ref="H21" authorId="0" shapeId="0">
      <text>
        <r>
          <rPr>
            <b/>
            <sz val="9"/>
            <color indexed="81"/>
            <rFont val="Tahoma"/>
            <family val="2"/>
          </rPr>
          <t>TSU:</t>
        </r>
        <r>
          <rPr>
            <sz val="9"/>
            <color indexed="81"/>
            <rFont val="Tahoma"/>
            <family val="2"/>
          </rPr>
          <t xml:space="preserve">
RV02050200359030100</t>
        </r>
      </text>
    </comment>
    <comment ref="I21" authorId="0" shapeId="0">
      <text>
        <r>
          <rPr>
            <b/>
            <sz val="9"/>
            <color indexed="81"/>
            <rFont val="Tahoma"/>
            <family val="2"/>
          </rPr>
          <t>TSU:</t>
        </r>
        <r>
          <rPr>
            <sz val="9"/>
            <color indexed="81"/>
            <rFont val="Tahoma"/>
            <family val="2"/>
          </rPr>
          <t xml:space="preserve">
RV02050200359030101
</t>
        </r>
      </text>
    </comment>
    <comment ref="G22" authorId="0" shapeId="0">
      <text>
        <r>
          <rPr>
            <b/>
            <sz val="9"/>
            <color indexed="81"/>
            <rFont val="Tahoma"/>
            <family val="2"/>
          </rPr>
          <t>TSU:</t>
        </r>
        <r>
          <rPr>
            <sz val="9"/>
            <color indexed="81"/>
            <rFont val="Tahoma"/>
            <family val="2"/>
          </rPr>
          <t xml:space="preserve">
RV02050200359030217</t>
        </r>
      </text>
    </comment>
    <comment ref="H22" authorId="0" shapeId="0">
      <text>
        <r>
          <rPr>
            <b/>
            <sz val="9"/>
            <color indexed="81"/>
            <rFont val="Tahoma"/>
            <family val="2"/>
          </rPr>
          <t>TSU:</t>
        </r>
        <r>
          <rPr>
            <sz val="9"/>
            <color indexed="81"/>
            <rFont val="Tahoma"/>
            <family val="2"/>
          </rPr>
          <t xml:space="preserve">
RV02050200359030217</t>
        </r>
      </text>
    </comment>
    <comment ref="I22" authorId="0" shapeId="0">
      <text>
        <r>
          <rPr>
            <b/>
            <sz val="9"/>
            <color indexed="81"/>
            <rFont val="Tahoma"/>
            <family val="2"/>
          </rPr>
          <t>TSU:</t>
        </r>
        <r>
          <rPr>
            <sz val="9"/>
            <color indexed="81"/>
            <rFont val="Tahoma"/>
            <family val="2"/>
          </rPr>
          <t xml:space="preserve">
RV02050200359030218
</t>
        </r>
      </text>
    </comment>
    <comment ref="G23" authorId="0" shapeId="0">
      <text>
        <r>
          <rPr>
            <b/>
            <sz val="9"/>
            <color indexed="81"/>
            <rFont val="Tahoma"/>
            <family val="2"/>
          </rPr>
          <t>TSU:</t>
        </r>
        <r>
          <rPr>
            <sz val="9"/>
            <color indexed="81"/>
            <rFont val="Tahoma"/>
            <family val="2"/>
          </rPr>
          <t xml:space="preserve">
RV02050200359030282</t>
        </r>
      </text>
    </comment>
    <comment ref="H23" authorId="0" shapeId="0">
      <text>
        <r>
          <rPr>
            <b/>
            <sz val="9"/>
            <color indexed="81"/>
            <rFont val="Tahoma"/>
            <family val="2"/>
          </rPr>
          <t>TSU:</t>
        </r>
        <r>
          <rPr>
            <sz val="9"/>
            <color indexed="81"/>
            <rFont val="Tahoma"/>
            <family val="2"/>
          </rPr>
          <t xml:space="preserve">
RV02050200359030282</t>
        </r>
      </text>
    </comment>
    <comment ref="I23" authorId="0" shapeId="0">
      <text>
        <r>
          <rPr>
            <b/>
            <sz val="9"/>
            <color indexed="81"/>
            <rFont val="Tahoma"/>
            <family val="2"/>
          </rPr>
          <t>TSU:</t>
        </r>
        <r>
          <rPr>
            <sz val="9"/>
            <color indexed="81"/>
            <rFont val="Tahoma"/>
            <family val="2"/>
          </rPr>
          <t xml:space="preserve">
RV02050200359030283</t>
        </r>
      </text>
    </comment>
    <comment ref="G24" authorId="0" shapeId="0">
      <text>
        <r>
          <rPr>
            <b/>
            <sz val="9"/>
            <color indexed="81"/>
            <rFont val="Tahoma"/>
            <family val="2"/>
          </rPr>
          <t>TSU:</t>
        </r>
        <r>
          <rPr>
            <sz val="9"/>
            <color indexed="81"/>
            <rFont val="Tahoma"/>
            <family val="2"/>
          </rPr>
          <t xml:space="preserve">
RV02050200359040012</t>
        </r>
      </text>
    </comment>
    <comment ref="H24" authorId="0" shapeId="0">
      <text>
        <r>
          <rPr>
            <b/>
            <sz val="9"/>
            <color indexed="81"/>
            <rFont val="Tahoma"/>
            <family val="2"/>
          </rPr>
          <t>TSU:</t>
        </r>
        <r>
          <rPr>
            <sz val="9"/>
            <color indexed="81"/>
            <rFont val="Tahoma"/>
            <family val="2"/>
          </rPr>
          <t xml:space="preserve">
RV02050200359040012</t>
        </r>
      </text>
    </comment>
    <comment ref="I24" authorId="0" shapeId="0">
      <text>
        <r>
          <rPr>
            <b/>
            <sz val="9"/>
            <color indexed="81"/>
            <rFont val="Tahoma"/>
            <family val="2"/>
          </rPr>
          <t>TSU:</t>
        </r>
        <r>
          <rPr>
            <sz val="9"/>
            <color indexed="81"/>
            <rFont val="Tahoma"/>
            <family val="2"/>
          </rPr>
          <t xml:space="preserve">
RV02050200359040013</t>
        </r>
      </text>
    </comment>
    <comment ref="G25" authorId="0" shapeId="0">
      <text>
        <r>
          <rPr>
            <b/>
            <sz val="9"/>
            <color indexed="81"/>
            <rFont val="Tahoma"/>
            <family val="2"/>
          </rPr>
          <t>TSU:</t>
        </r>
        <r>
          <rPr>
            <sz val="9"/>
            <color indexed="81"/>
            <rFont val="Tahoma"/>
            <family val="2"/>
          </rPr>
          <t xml:space="preserve">
RV02050200359040014</t>
        </r>
      </text>
    </comment>
    <comment ref="H25" authorId="0" shapeId="0">
      <text>
        <r>
          <rPr>
            <b/>
            <sz val="9"/>
            <color indexed="81"/>
            <rFont val="Tahoma"/>
            <family val="2"/>
          </rPr>
          <t>TSU:</t>
        </r>
        <r>
          <rPr>
            <sz val="9"/>
            <color indexed="81"/>
            <rFont val="Tahoma"/>
            <family val="2"/>
          </rPr>
          <t xml:space="preserve">
RV02050200359040014</t>
        </r>
      </text>
    </comment>
    <comment ref="I25" authorId="0" shapeId="0">
      <text>
        <r>
          <rPr>
            <b/>
            <sz val="9"/>
            <color indexed="81"/>
            <rFont val="Tahoma"/>
            <family val="2"/>
          </rPr>
          <t>TSU:</t>
        </r>
        <r>
          <rPr>
            <sz val="9"/>
            <color indexed="81"/>
            <rFont val="Tahoma"/>
            <family val="2"/>
          </rPr>
          <t xml:space="preserve">
RV02050200359040015</t>
        </r>
      </text>
    </comment>
    <comment ref="G26" authorId="0" shapeId="0">
      <text>
        <r>
          <rPr>
            <b/>
            <sz val="9"/>
            <color indexed="81"/>
            <rFont val="Tahoma"/>
            <family val="2"/>
          </rPr>
          <t>TSU:</t>
        </r>
        <r>
          <rPr>
            <sz val="9"/>
            <color indexed="81"/>
            <rFont val="Tahoma"/>
            <family val="2"/>
          </rPr>
          <t xml:space="preserve">
RV02050200359050045</t>
        </r>
      </text>
    </comment>
    <comment ref="H26" authorId="0" shapeId="0">
      <text>
        <r>
          <rPr>
            <b/>
            <sz val="9"/>
            <color indexed="81"/>
            <rFont val="Tahoma"/>
            <family val="2"/>
          </rPr>
          <t>TSU:</t>
        </r>
        <r>
          <rPr>
            <sz val="9"/>
            <color indexed="81"/>
            <rFont val="Tahoma"/>
            <family val="2"/>
          </rPr>
          <t xml:space="preserve">
RV02050200359050045</t>
        </r>
      </text>
    </comment>
    <comment ref="I26" authorId="0" shapeId="0">
      <text>
        <r>
          <rPr>
            <b/>
            <sz val="9"/>
            <color indexed="81"/>
            <rFont val="Tahoma"/>
            <family val="2"/>
          </rPr>
          <t>TSU:</t>
        </r>
        <r>
          <rPr>
            <sz val="9"/>
            <color indexed="81"/>
            <rFont val="Tahoma"/>
            <family val="2"/>
          </rPr>
          <t xml:space="preserve">
RV02050200359050046</t>
        </r>
      </text>
    </comment>
    <comment ref="G27" authorId="0" shapeId="0">
      <text>
        <r>
          <rPr>
            <b/>
            <sz val="9"/>
            <color indexed="81"/>
            <rFont val="Tahoma"/>
            <family val="2"/>
          </rPr>
          <t>TSU:</t>
        </r>
        <r>
          <rPr>
            <sz val="9"/>
            <color indexed="81"/>
            <rFont val="Tahoma"/>
            <family val="2"/>
          </rPr>
          <t xml:space="preserve">
AP02050200359010110</t>
        </r>
      </text>
    </comment>
    <comment ref="H27" authorId="0" shapeId="0">
      <text>
        <r>
          <rPr>
            <b/>
            <sz val="9"/>
            <color indexed="81"/>
            <rFont val="Tahoma"/>
            <family val="2"/>
          </rPr>
          <t>TSU:</t>
        </r>
        <r>
          <rPr>
            <sz val="9"/>
            <color indexed="81"/>
            <rFont val="Tahoma"/>
            <family val="2"/>
          </rPr>
          <t xml:space="preserve">
AP02050200359010110</t>
        </r>
      </text>
    </comment>
    <comment ref="I27" authorId="0" shapeId="0">
      <text>
        <r>
          <rPr>
            <b/>
            <sz val="9"/>
            <color indexed="81"/>
            <rFont val="Tahoma"/>
            <family val="2"/>
          </rPr>
          <t>TSU:</t>
        </r>
        <r>
          <rPr>
            <sz val="9"/>
            <color indexed="81"/>
            <rFont val="Tahoma"/>
            <family val="2"/>
          </rPr>
          <t xml:space="preserve">
AP02050200359010111</t>
        </r>
      </text>
    </comment>
    <comment ref="G28" authorId="0" shapeId="0">
      <text>
        <r>
          <rPr>
            <b/>
            <sz val="9"/>
            <color indexed="81"/>
            <rFont val="Tahoma"/>
            <family val="2"/>
          </rPr>
          <t>TSU:
RV02050200359050184</t>
        </r>
      </text>
    </comment>
    <comment ref="H28" authorId="0" shapeId="0">
      <text>
        <r>
          <rPr>
            <b/>
            <sz val="9"/>
            <color indexed="81"/>
            <rFont val="Tahoma"/>
            <family val="2"/>
          </rPr>
          <t>TSU:</t>
        </r>
        <r>
          <rPr>
            <sz val="9"/>
            <color indexed="81"/>
            <rFont val="Tahoma"/>
            <family val="2"/>
          </rPr>
          <t xml:space="preserve">
RV02050200359050184</t>
        </r>
      </text>
    </comment>
    <comment ref="I28" authorId="0" shapeId="0">
      <text>
        <r>
          <rPr>
            <b/>
            <sz val="9"/>
            <color indexed="81"/>
            <rFont val="Tahoma"/>
            <family val="2"/>
          </rPr>
          <t>TSU:</t>
        </r>
        <r>
          <rPr>
            <sz val="9"/>
            <color indexed="81"/>
            <rFont val="Tahoma"/>
            <family val="2"/>
          </rPr>
          <t xml:space="preserve">
RV02050200359050185</t>
        </r>
      </text>
    </comment>
    <comment ref="G29" authorId="0" shapeId="0">
      <text>
        <r>
          <rPr>
            <b/>
            <sz val="9"/>
            <color indexed="81"/>
            <rFont val="Tahoma"/>
            <family val="2"/>
          </rPr>
          <t>TSU:</t>
        </r>
        <r>
          <rPr>
            <sz val="9"/>
            <color indexed="81"/>
            <rFont val="Tahoma"/>
            <family val="2"/>
          </rPr>
          <t xml:space="preserve">
RV02050200359060072</t>
        </r>
      </text>
    </comment>
    <comment ref="G30" authorId="0" shapeId="0">
      <text>
        <r>
          <rPr>
            <b/>
            <sz val="9"/>
            <color indexed="81"/>
            <rFont val="Tahoma"/>
            <family val="2"/>
          </rPr>
          <t>TSU:</t>
        </r>
        <r>
          <rPr>
            <sz val="9"/>
            <color indexed="81"/>
            <rFont val="Tahoma"/>
            <family val="2"/>
          </rPr>
          <t xml:space="preserve">
RV02050200359060072</t>
        </r>
      </text>
    </comment>
    <comment ref="G31" authorId="0" shapeId="0">
      <text>
        <r>
          <rPr>
            <b/>
            <sz val="9"/>
            <color indexed="81"/>
            <rFont val="Tahoma"/>
            <family val="2"/>
          </rPr>
          <t>TSU:</t>
        </r>
        <r>
          <rPr>
            <sz val="9"/>
            <color indexed="81"/>
            <rFont val="Tahoma"/>
            <family val="2"/>
          </rPr>
          <t xml:space="preserve">
RV02050200359060202</t>
        </r>
      </text>
    </comment>
    <comment ref="H31" authorId="0" shapeId="0">
      <text>
        <r>
          <rPr>
            <b/>
            <sz val="9"/>
            <color indexed="81"/>
            <rFont val="Tahoma"/>
            <family val="2"/>
          </rPr>
          <t>TSU:</t>
        </r>
        <r>
          <rPr>
            <sz val="9"/>
            <color indexed="81"/>
            <rFont val="Tahoma"/>
            <family val="2"/>
          </rPr>
          <t xml:space="preserve">
RV02050200359060202</t>
        </r>
      </text>
    </comment>
    <comment ref="I31" authorId="0" shapeId="0">
      <text>
        <r>
          <rPr>
            <b/>
            <sz val="9"/>
            <color indexed="81"/>
            <rFont val="Tahoma"/>
            <family val="2"/>
          </rPr>
          <t>TSU:</t>
        </r>
        <r>
          <rPr>
            <sz val="9"/>
            <color indexed="81"/>
            <rFont val="Tahoma"/>
            <family val="2"/>
          </rPr>
          <t xml:space="preserve">
RV02050200359060203</t>
        </r>
      </text>
    </comment>
    <comment ref="G32" authorId="0" shapeId="0">
      <text>
        <r>
          <rPr>
            <b/>
            <sz val="9"/>
            <color indexed="81"/>
            <rFont val="Tahoma"/>
            <family val="2"/>
          </rPr>
          <t>TSU:</t>
        </r>
        <r>
          <rPr>
            <sz val="9"/>
            <color indexed="81"/>
            <rFont val="Tahoma"/>
            <family val="2"/>
          </rPr>
          <t xml:space="preserve">
RV02050200359060280</t>
        </r>
      </text>
    </comment>
    <comment ref="H32" authorId="0" shapeId="0">
      <text>
        <r>
          <rPr>
            <b/>
            <sz val="9"/>
            <color indexed="81"/>
            <rFont val="Tahoma"/>
            <family val="2"/>
          </rPr>
          <t>TSU:</t>
        </r>
        <r>
          <rPr>
            <sz val="9"/>
            <color indexed="81"/>
            <rFont val="Tahoma"/>
            <family val="2"/>
          </rPr>
          <t xml:space="preserve">
RV02050200359060280</t>
        </r>
      </text>
    </comment>
    <comment ref="I32" authorId="0" shapeId="0">
      <text>
        <r>
          <rPr>
            <b/>
            <sz val="9"/>
            <color indexed="81"/>
            <rFont val="Tahoma"/>
            <family val="2"/>
          </rPr>
          <t>TSU:</t>
        </r>
        <r>
          <rPr>
            <sz val="9"/>
            <color indexed="81"/>
            <rFont val="Tahoma"/>
            <family val="2"/>
          </rPr>
          <t xml:space="preserve">
RV02050200359060281</t>
        </r>
      </text>
    </comment>
    <comment ref="G33" authorId="0" shapeId="0">
      <text>
        <r>
          <rPr>
            <b/>
            <sz val="9"/>
            <color indexed="81"/>
            <rFont val="Tahoma"/>
            <family val="2"/>
          </rPr>
          <t>TSU:</t>
        </r>
        <r>
          <rPr>
            <sz val="9"/>
            <color indexed="81"/>
            <rFont val="Tahoma"/>
            <family val="2"/>
          </rPr>
          <t xml:space="preserve">
02050200359070366</t>
        </r>
      </text>
    </comment>
    <comment ref="H33" authorId="0" shapeId="0">
      <text>
        <r>
          <rPr>
            <b/>
            <sz val="9"/>
            <color indexed="81"/>
            <rFont val="Tahoma"/>
            <family val="2"/>
          </rPr>
          <t>TSU:</t>
        </r>
        <r>
          <rPr>
            <sz val="9"/>
            <color indexed="81"/>
            <rFont val="Tahoma"/>
            <family val="2"/>
          </rPr>
          <t xml:space="preserve">
02050200359070366</t>
        </r>
      </text>
    </comment>
    <comment ref="I33" authorId="0" shapeId="0">
      <text>
        <r>
          <rPr>
            <b/>
            <sz val="9"/>
            <color indexed="81"/>
            <rFont val="Tahoma"/>
            <family val="2"/>
          </rPr>
          <t>TSU:</t>
        </r>
        <r>
          <rPr>
            <sz val="9"/>
            <color indexed="81"/>
            <rFont val="Tahoma"/>
            <family val="2"/>
          </rPr>
          <t xml:space="preserve">
02050200359070367</t>
        </r>
      </text>
    </comment>
    <comment ref="G35" authorId="0" shapeId="0">
      <text>
        <r>
          <rPr>
            <b/>
            <sz val="9"/>
            <color indexed="81"/>
            <rFont val="Tahoma"/>
            <family val="2"/>
          </rPr>
          <t>TSU:</t>
        </r>
        <r>
          <rPr>
            <sz val="9"/>
            <color indexed="81"/>
            <rFont val="Tahoma"/>
            <family val="2"/>
          </rPr>
          <t xml:space="preserve">
RV02050200359080027
</t>
        </r>
      </text>
    </comment>
    <comment ref="H35" authorId="0" shapeId="0">
      <text>
        <r>
          <rPr>
            <b/>
            <sz val="9"/>
            <color indexed="81"/>
            <rFont val="Tahoma"/>
            <family val="2"/>
          </rPr>
          <t>TSU:</t>
        </r>
        <r>
          <rPr>
            <sz val="9"/>
            <color indexed="81"/>
            <rFont val="Tahoma"/>
            <family val="2"/>
          </rPr>
          <t xml:space="preserve">
RV02050200359080027</t>
        </r>
      </text>
    </comment>
    <comment ref="I35" authorId="0" shapeId="0">
      <text>
        <r>
          <rPr>
            <b/>
            <sz val="9"/>
            <color indexed="81"/>
            <rFont val="Tahoma"/>
            <family val="2"/>
          </rPr>
          <t>TSU:</t>
        </r>
        <r>
          <rPr>
            <sz val="9"/>
            <color indexed="81"/>
            <rFont val="Tahoma"/>
            <family val="2"/>
          </rPr>
          <t xml:space="preserve">
RV02050200359080028
</t>
        </r>
      </text>
    </comment>
    <comment ref="G36" authorId="0" shapeId="0">
      <text>
        <r>
          <rPr>
            <b/>
            <sz val="9"/>
            <color indexed="81"/>
            <rFont val="Tahoma"/>
            <family val="2"/>
          </rPr>
          <t>TSU:</t>
        </r>
        <r>
          <rPr>
            <sz val="9"/>
            <color indexed="81"/>
            <rFont val="Tahoma"/>
            <family val="2"/>
          </rPr>
          <t xml:space="preserve">
RV02050200359080342</t>
        </r>
      </text>
    </comment>
  </commentList>
</comments>
</file>

<file path=xl/comments4.xml><?xml version="1.0" encoding="utf-8"?>
<comments xmlns="http://schemas.openxmlformats.org/spreadsheetml/2006/main">
  <authors>
    <author>TSU</author>
  </authors>
  <commentList>
    <comment ref="D9" authorId="0" shapeId="0">
      <text>
        <r>
          <rPr>
            <b/>
            <sz val="9"/>
            <color indexed="81"/>
            <rFont val="Tahoma"/>
            <family val="2"/>
          </rPr>
          <t>TSU:</t>
        </r>
        <r>
          <rPr>
            <sz val="9"/>
            <color indexed="81"/>
            <rFont val="Tahoma"/>
            <family val="2"/>
          </rPr>
          <t xml:space="preserve">
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r>
      </text>
    </comment>
    <comment ref="D12" authorId="0" shapeId="0">
      <text>
        <r>
          <rPr>
            <b/>
            <sz val="9"/>
            <color indexed="81"/>
            <rFont val="Tahoma"/>
            <family val="2"/>
          </rPr>
          <t>TSU:</t>
        </r>
        <r>
          <rPr>
            <sz val="9"/>
            <color indexed="81"/>
            <rFont val="Tahoma"/>
            <family val="2"/>
          </rPr>
          <t xml:space="preserve">
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t>
        </r>
      </text>
    </comment>
    <comment ref="D17" authorId="0" shapeId="0">
      <text>
        <r>
          <rPr>
            <b/>
            <sz val="9"/>
            <color indexed="81"/>
            <rFont val="Tahoma"/>
            <family val="2"/>
          </rPr>
          <t>TSU:</t>
        </r>
        <r>
          <rPr>
            <sz val="9"/>
            <color indexed="81"/>
            <rFont val="Tahoma"/>
            <family val="2"/>
          </rPr>
          <t xml:space="preserve">
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r>
      </text>
    </comment>
    <comment ref="B18" authorId="0" shapeId="0">
      <text>
        <r>
          <rPr>
            <b/>
            <sz val="9"/>
            <color indexed="81"/>
            <rFont val="Tahoma"/>
            <family val="2"/>
          </rPr>
          <t>TSU:</t>
        </r>
        <r>
          <rPr>
            <sz val="9"/>
            <color indexed="81"/>
            <rFont val="Tahoma"/>
            <family val="2"/>
          </rPr>
          <t xml:space="preserve">
รับ20/7/2558</t>
        </r>
      </text>
    </comment>
    <comment ref="D18" authorId="0" shapeId="0">
      <text>
        <r>
          <rPr>
            <b/>
            <sz val="9"/>
            <color indexed="81"/>
            <rFont val="Tahoma"/>
            <family val="2"/>
          </rPr>
          <t>TSU:</t>
        </r>
        <r>
          <rPr>
            <sz val="9"/>
            <color indexed="81"/>
            <rFont val="Tahoma"/>
            <family val="2"/>
          </rPr>
          <t xml:space="preserve">
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r>
      </text>
    </comment>
  </commentList>
</comments>
</file>

<file path=xl/sharedStrings.xml><?xml version="1.0" encoding="utf-8"?>
<sst xmlns="http://schemas.openxmlformats.org/spreadsheetml/2006/main" count="5887" uniqueCount="2905">
  <si>
    <t>ทะเบียนคุมเงินทุนวิจัยภายนอก ปีงบประมาณ 2559</t>
  </si>
  <si>
    <t>วันที่รับเงิน</t>
  </si>
  <si>
    <t>เลขที่ใบเสร็จ</t>
  </si>
  <si>
    <t>หน่วยงาน</t>
  </si>
  <si>
    <t>จำนวนเงิน</t>
  </si>
  <si>
    <t>งบประมาณจัดสรร</t>
  </si>
  <si>
    <t>เอกสารการเบิกจ่าย</t>
  </si>
  <si>
    <t>งบประมาณคงเหลือ</t>
  </si>
  <si>
    <t>งบดำเนินงาน</t>
  </si>
  <si>
    <t>กองทุนวิจัย</t>
  </si>
  <si>
    <t>รายละเอียดโครงการ</t>
  </si>
  <si>
    <t>-</t>
  </si>
  <si>
    <t>PR2-2559:1/1</t>
  </si>
  <si>
    <t>คณะเทคโนฯ</t>
  </si>
  <si>
    <t>ทุน อาภรณ์ส่งแสง การศึกษาระบบการเลี้ยงควายในพื้นที่อนุรักษ์(ทะเลน้อย)</t>
  </si>
  <si>
    <t>PL2-2559:1/1</t>
  </si>
  <si>
    <t>คณะเศรษฐศาสตร์</t>
  </si>
  <si>
    <t>สำรวจความพึงพอใจของประชาชนที่มีผลต่อองค์ปกครองส่วนท้องถิ่น-สูธรรม ขนาบศักดิ์</t>
  </si>
  <si>
    <t>PR2-2559:1/9</t>
  </si>
  <si>
    <t>คณะศึกษาศาสตร์</t>
  </si>
  <si>
    <t>ค่าบำรุงสถาบัน(งวดพิเศษก) การเรียนรู้และปรับตัวเพื่อนการดำรงอยู่ในวิถีเมืองเสี่ยงภัย</t>
  </si>
  <si>
    <t>PL2-2559:1/10</t>
  </si>
  <si>
    <t>คณะวิทยาศาสตร์</t>
  </si>
  <si>
    <t>การจัดการของเสียอินทรีย์ด้วยระบบหมักฯ</t>
  </si>
  <si>
    <t>PR2-2559:1/14</t>
  </si>
  <si>
    <t>PR2-2559:1/18-19</t>
  </si>
  <si>
    <t>PR2-2559:1/29</t>
  </si>
  <si>
    <t>PR2-2559:1/45</t>
  </si>
  <si>
    <t>PR2-2559:2/7</t>
  </si>
  <si>
    <t>โครงการวิจัยพัฒนาและวิศวกรรม เรื่องการจำกัดต้นกงในทะเล -ผศ.ศิริลักษณ์ ช่วยพนัก</t>
  </si>
  <si>
    <t>PR2-2559:2/8</t>
  </si>
  <si>
    <t>โครงการวิจัยพัฒนาและวิศวกรรม เรื่องการเปรียบเทียบผลเฉลยของแบบจำลองฯ-อ.จันทวรรณ น้อยศรี</t>
  </si>
  <si>
    <t>PR2-2559:2/11</t>
  </si>
  <si>
    <t>คณะมนุษยศาสตร์</t>
  </si>
  <si>
    <t>ดำเนินการสำรวจระดับความพึงพอใจของผู้ใช้บริการรถไฟในปี58-อ.ดร.อรพิน บุญสิน</t>
  </si>
  <si>
    <t>ศธ.64.26/0061</t>
  </si>
  <si>
    <t>รายการปรับปรุง</t>
  </si>
  <si>
    <t>PR2-2559:2/15</t>
  </si>
  <si>
    <t>ค่าตอบแทนสถาบันจากโครงการ การกระจายอำนาจการศึกษาให้แก่ อป.-ผศ.ดร.เรวดี กระโหมวงศ์</t>
  </si>
  <si>
    <t>PR2-2559:2/23</t>
  </si>
  <si>
    <t>PR2-2559:2/33</t>
  </si>
  <si>
    <t xml:space="preserve">ดำเนินการสำรวจและรวบรวมผลงานวิจัยและพัฒนานวัตกรรมทางการศึกษาฯ จาก สนง.เลขาธิการสภาการศึกษา </t>
  </si>
  <si>
    <t>PR2-2559:2/36</t>
  </si>
  <si>
    <t>PR2-2559:3/32</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</si>
  <si>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โครงการนำร่องจังหวัดประชาคมปฏิรูปการเรียนรู้งวดที่3 โอนผ่านธ.กรุงไทย082-4 วันที่5/2/2559 PR2-2559:3/32(เงินทุนวิจัย=147,487.50/เข้ากองทุนวิจัย=8,193.75/เข้าคณะศึกษาศาสตร์=8,193.75)</t>
  </si>
  <si>
    <t>PR2-2559:3/41</t>
  </si>
  <si>
    <t xml:space="preserve">รับเงินโอนโครงการวิจัยชุมชน การจัดการของเสียอินทรีย์ด้วยระบบหม่อหมักก๊าซชีวภาพ รร.บ้านโตน :ผศ.ดร.อุษา อ้นทอง โอนผ่านธ.ไทยพาณิชย์220-3 วันที่27/11/58 PR2-2559:3/41เข้าทุนวิจัยภายนอก=24,948.- เข้ากองทุนวิจัย=1,386.- เข้าคณะวิทยาศาสตร์=1,386.- </t>
  </si>
  <si>
    <t>PR2-2559:3/46</t>
  </si>
  <si>
    <t>PR2-2559:4/2</t>
  </si>
  <si>
    <t>ที่ปรึกษาโครงการวิจัยเทศบาลนครสงขลา โดย รศ.ดร.พูนสุข อุดม เรื่องการสร้างและพัฒนาหลักสูตรความเป็นเลิศด้านวิทยาศาสตร์</t>
  </si>
  <si>
    <t>PR2-2559:4/11</t>
  </si>
  <si>
    <t>คณะ วสก.</t>
  </si>
  <si>
    <t>รับเงินโอนทุนวิจัยภายนอก วิจัยเรื่อง การประเมินผลโครงการภายใต้งบสร้างเสริมสุขภาพและป้องกันโรค ปี2558 จาก สนง.หลักประกันสุขภาพแห่งชาติเขต12 สงขลา เงินโอนผ่าน ธ.ไทยพาณิชย์ 220-3 วันที่24,30 มีค.59 -PR2-2559:4/11(เงินเข้ากองทุนวิจัย81,000+4500=85,500 บาท และเข้าเงินรับฝาก-คณะวสก.=4,500 บาท)</t>
  </si>
  <si>
    <t>PR2-2559:4/12</t>
  </si>
  <si>
    <t>รับเงินโอนทุนวิจัยภายนอก วิจัยเรื่อง การติดตามเยี่ยมสำรวจเพื่อการพัฒนาคุณภาพบริการปฐมภูมิฯ จาก สนง.หลักประกันสุขภาพแห่งชาติเขต12 สงขลา เงินโอนผ่าน ธ.กรุงไทย 082-4 วันที่29 มีค.59 -PR2-2559:4/12(เงินเข้ากองทุนวิจัย216,000+12,000=228,000 บาท และเข้าเงินรับฝาก-คณะวสก.=12,000 บาท)</t>
  </si>
  <si>
    <t>PR2-2559:4/44</t>
  </si>
  <si>
    <t>รับเงินโอนทุนวิจัยภายนอก วิจัยเรื่อง การคำนวณและการดูดซับโลหะหนักในน้ำฯ จาก สนง.พัฒนาวิทยาศาสตร์และเทคโนโลยี(สวทช.) เงินโอนผ่าน ธ.ไทย 626-2 วันที่12 เมย.59 -PR2-2559:4/44(เงินเข้ากองทุนวิจัย111,000+15,000=126,000 บาท และเข้าเงินรับฝาก-คณะวิทย์.=15,000 บาท)นิรมล จันทรชาติ</t>
  </si>
  <si>
    <t>PR2-2559:4/48</t>
  </si>
  <si>
    <t>รับเงินโอนทุนวิจัยภายนอก วิจัยเรื่อง การประเมินศักยภาพพลังงานลมฯงวดที่4-5 ผศ.ดร.จอมภพ แววศักดิ์ จาก สนง.คณะกรรมการวิจัยแห่งชาติ(วช.) เงินโอนผ่าน ธ.ไทยพาณิชย์ 626-0 วันที่12 พค.59 -PR2-2559:4/48(เงินเข้ากองทุนวิจัย127,512+7,084=134,596 บาท และเข้าเงินรับฝาก-คณะวิทย์.=7,084 บาท)</t>
  </si>
  <si>
    <t>PR2-2559:5/7</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</si>
  <si>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PR2-2559:5/7 ธ.กรุงไทย082-4 วันที่17/5/59 เข้าทุนวิจัยภายนอก1,226,520+25,140=1,251,600 บาท  เข้าคณะมนุษยศาสตร์=25,140 บาท</t>
  </si>
  <si>
    <t>PR2-2559:5/37</t>
  </si>
  <si>
    <t>รับเงินโอนโครงการวิจัยและนวัตกรรมเพื่อถ่ายทอดเทคโนโลยีชุมชนฐานราก ปีงบ2559 2 ทุน จากม.ราชภัฎสงขลา ของอ.สุนิสา คงประสิทธิ์=80,000 และจารุวรรณ ชูสงค์=70,000.- เงินเข้าทุนวิจัยภายนอก100% ยกเว้นค่าธรรมเนียม PR2-2559:5/37</t>
  </si>
  <si>
    <t>วิทยาลัยภูมิปัญญาชุมชน</t>
  </si>
  <si>
    <t>PR2-2559:5/40</t>
  </si>
  <si>
    <t>รับเงินโอนทุนวิจัยภายนอก วิจัยเรื่อง การจัดการเพื่อการพัฒนาชุมชนเมืองและที่อยู่อาศัยฯ จากการเคหะแห่งชาติ โดยอ.ทวนธง ครุฑจ้อน PR2-2559:5/40 (เงินเข้ากองทุนวิจัย=330,600.- เข้าคณะมนุษศาสตร์=17,400.- )</t>
  </si>
  <si>
    <t>PR2-2559:5/46</t>
  </si>
  <si>
    <t>รับเงินโอนสนับสนุนการวิจัยจากสนง.เครือข่ายอุดมศึกษาฯ เรื่องส่งเสริมวิสาหกิจขนาดกลางและขนาดย่อมโครงการที่1:โครงการจัดตั้งศูนย์บ่มเพาะวิสาหกิจโดย ผศ.ดร.อมลวรรณ วีระธรรมโม จาก ม.สงขลานครินทร์ โอนSCB626-0 วันที่24-6-59 PR2-2559:5/46 (เข้ากองทุนวิจัย=266,000.-  เข้าคณะศึกษาศาสตร์=14,000.-)</t>
  </si>
  <si>
    <t>PR2-2559:6/8-9</t>
  </si>
  <si>
    <t>รับเงินโอนค่าจ้างผู้เชี่ยวชาญรายบุคคลให้ดำเนินการวิจัยจากสำนักเลขาธิการสภาการศึกษา อ.ดร.นวลพรรณ วรรณสุธี โครงการนำร่องจังหวัดประชาคมปฏิรูปการเรียนรู้งวดที่2-3 โอนผ่านธ.กรุงไทย082-4 วันที่29/7/2559 PR2-2559:6/8-9(เงินทุนวิจัย=465,750/เข้ากองทุนวิจัย=25,875/เข้าคณะศึกษาศาสตร์=25,875)</t>
  </si>
  <si>
    <t>PR2-2559:6/10</t>
  </si>
  <si>
    <t>รับเงินโอนทุนวิจัยภายนอก วิจัยเรื่อง ความเปลี่ยนแปลงและกระบวนการสร้างประชาธิปไตยในชนบท ของผศ.ดร.ณฐพงศ์ จิตรนิรัตน์ จากสำนักงานกองทุนสนับสนุนการวิจัย(สกว.) เงินตอบแทนสถาบัน(งวดพิเศษ ก)เงินโอนผ่าน ธ.กรุงไทย 082-4 วันที่07 กค.59 -PR2-2559:6/10(เงินเข้ากองทุนวิจัย76,400)</t>
  </si>
  <si>
    <t>PL2-2559:1/6</t>
  </si>
  <si>
    <t>รับเงินโอนทุนวิจัยภายนอก สำรวจความพึงพอใจของประชาชนที่มีผลต่อองค์ปกครองส่วนท้องถิ่น จาก อบต.บ้านตูลโดยสุธรรม ขนาบศักดิ์ PL2-2559:1/6 ธ.กรุงไทย082-4 วันที่2/8/59 เข้าทุนวิจัยภายนอก22,500+1,250=23,750 บาท  เข้าคณะเศรษฐศาสตร์=1,250 บาท</t>
  </si>
  <si>
    <t>PR2-2559:6/26</t>
  </si>
  <si>
    <t>รับเงินโอนทุนวิจัยภายนอก เรื่องสำรวจความพึงพอใจของผู้ใช้บริการรถไฟไทยในปี2558 จากฝ่ายการเดินรถ การรถไฟแห่งประเทศไทย โดยอ.ดร.อรพิน บุญสิน PR2-2559:6/26 ธ.กรุงไทย082-4 วันที่15/8/59 เข้าทุนวิจัยภายนอก 96,000 บาท  เข้าคณะมนุษยศาสตร์=0.00 บาท</t>
  </si>
  <si>
    <t>PR2-2559:6/37</t>
  </si>
  <si>
    <t>สถาบันปฏิบัติการชุมชนเพื่อการศึกษาฯ</t>
  </si>
  <si>
    <t>รับเงินโอนทุนวิจัยภายนอก ทุนอุดหนุนการทำกิจกรรมส่งเสริมและสนับสนุนการวิจัย จากสำนักงานคณะกรรมการการวิจัยแห่งชาติ โดยอ.ดร.ทวีเดช  ไชยนาพงษ์ PR2-2559:6/37 โอนผ่านธ.กรุงไทย082-4 วันที่30/8/59 เข้าทุนวิจัยภายนอก 28,500 บาท  เข้าสถาบันปฏิบัติการชุมชนเพื่อการศึกษาฯ=28,500.00 บาท</t>
  </si>
  <si>
    <t>PL2-2559:1/8</t>
  </si>
  <si>
    <t>รับเช็คเลขที่10012957 ธ.กรุงไทย เป็นเงินทุนวิจัยภายนอก สำรวจความพึงพอใจของประชาชนที่มีผลต่อองค์ปกครองส่วนท้องถิ่น จาก อบต.คลองแดน โดยสุธรรม ขนาบศักดิ์ PL2-2559:1/8 เข้าทุนวิจัยภายนอก18,000+1,000=19,000 บาท  เข้าคณะเศรษฐศาสตร์=1,000 บาท</t>
  </si>
  <si>
    <t>รับเงินโอนทุนวิจัยภายนอก ทุนอุดหนุนการวิจัยส่งเสริมและสนับสนุนการวิจัยที่มุ่งเป้าด้านพลาสติกชีวภาพ จากสำนักงานพัฒนาเศรษฐกิจจากฐานชีวภาพ โดยอ.ดร.นันทรัตน์ พฤกษาพิทักษ์ PR2-2559:7/2 โอนผ่าน SCB220-3 วันที่22/9/59 เข้าทุนวิจัยภายนอก 191,420.25 บาท  เข้าคณะเศรษฐศาสตร์=10,074.75 บาท</t>
  </si>
  <si>
    <t>รับเงินโอนทุนวิจัยภายนอก สำรวจความพึงพอใจของประชาชนที่มีผลต่อองค์ปกครองส่วนท้องถิ่น จาก อบต.ท่าศาลาและ เทศบาลโคกม่วง โดยสุธรรม ขนาบศักดิ์ PR2-2559:7/7-8 KTB082-4 วันที่22/9/59 และSCB220-3 วันที่27,28/9/59 เข้าทุนวิจัยภายนอก40,500+2,250=42,750 บาท  เข้าคณะเศรษฐศาสตร์=2,250 บาท</t>
  </si>
  <si>
    <t>รับเงินโอนทุนวิจัยภายนอก สำรวจความพึงพอใจของประชาชนที่มีผลต่อองค์ปกครองส่วนท้องถิ่น จาก 5 อบต. โดยสุธรรม ขนาบศักดิ์ PL2-2559:1/9 KTB082-4 วันที่27/9/59 เข้าทุนวิจัยภายนอก90,000+5,000=95,000 บาท  เข้าคณะเศรษฐศาสตร์=5,000 บาท</t>
  </si>
  <si>
    <t>รับเงินโอนทุนวิจัยภายนอก จ้างที่ปรึกษาดำเนินการศึกษาเรื่องแนวโน้มความต้องการกำลังคนของตลาดแรงงานฯ จาก สนง.เลขาธิการสภาการศึกษาโดย รศ.ดร.นิรันดร์ จุลทรัพย์ PR2-2559:7/11 ธ.กรุงไทย082-4 วันที่19/9/59 เข้าทุนวิจัยภายนอก51,300+2,850=54,150 บาท  เข้าคณะศึกษาศาสตร์=2,850 บาท</t>
  </si>
  <si>
    <t>แผนงาน</t>
  </si>
  <si>
    <t>บริหารจัดการทั่วไปกองทุน/บริหารจัดการทั่วไป-กองทุนวิจัย 54020100</t>
  </si>
  <si>
    <t>สถาบันวิจัยและพัฒนา 011100000</t>
  </si>
  <si>
    <t>กองทุน</t>
  </si>
  <si>
    <t>กองทุนวิจัยมหาวิทยาลัยทักษิณ 080100</t>
  </si>
  <si>
    <t>รายการ</t>
  </si>
  <si>
    <t>กองทุนวิจัยมหาวิทยาลัยทักษิณ</t>
  </si>
  <si>
    <t>รหัสบัญชี</t>
  </si>
  <si>
    <t>21060801010005</t>
  </si>
  <si>
    <t>ทะเบียนคุมเงินทุนวิจัยภายนอก ปีงบประมาณ 2560</t>
  </si>
  <si>
    <t>ชื่อผู้รับทุน</t>
  </si>
  <si>
    <t>บัญรับโอนเงิน
 เข้าบัญชีธนาคาร</t>
  </si>
  <si>
    <t>จัดสรรเข้ากองทุนวิจัย</t>
  </si>
  <si>
    <t>เงินรับฝาก
(หน่วยงาน)</t>
  </si>
  <si>
    <t>ตอบแทนกองทุนวิจัย</t>
  </si>
  <si>
    <t>กองทุนวิจัย(ให้แก่นักวิจัย)</t>
  </si>
  <si>
    <t>เงินรับฝาก(หน่วยงานสังกัดพัทลุง)</t>
  </si>
  <si>
    <t>ตอบแทน
กองทุนวิจัย</t>
  </si>
  <si>
    <t>กองทุนวิจัย
(ให้แก่นักวิจัย)</t>
  </si>
  <si>
    <t>จ่ายให้แก่นักวิจัย</t>
  </si>
  <si>
    <t>เลขที่เอกสารจ่าย</t>
  </si>
  <si>
    <t>อาจารย์ อัศว์ศิริ ลาปีอี</t>
  </si>
  <si>
    <t>ทุนอุดหนุนการทำวิจัยตามสัญญาเลขที่ 59-01-05 จากศูนย์วิจัยและจัดการความรู้เพื่อการควบคุมยาสูบ (ศจย.) เรื่อง ความสัมพันธ์ระหว่างการรับรู้และอิทธิพลจากสื่อกับการปรับเปลี่ยนพฤติกรรมการสูบบุหรี่ของเยาวชนในระดับอาชีวศึกษาพื้นที่สามจังหวัดชายแดนภาคใต้ (งบประมาณรวม 400,000.00 บาท)</t>
  </si>
  <si>
    <t>คณะมนุษยศาสตร์และสังคมศาสตร์/สาขารัฐประศาสนศาสตร์และการจัดการทรัพยากรมนุษย์</t>
  </si>
  <si>
    <t>PR2-2560:1/7</t>
  </si>
  <si>
    <t>SCB 405-658626-0</t>
  </si>
  <si>
    <t>รศ.ดร.พูนสุข อุดม</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</si>
  <si>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2</t>
  </si>
  <si>
    <t>PR2-2560:1/10</t>
  </si>
  <si>
    <t>AP01110000060100001</t>
  </si>
  <si>
    <t>ผู้ช่วยศาสตราจารย์สุธรรม ขนาบศักดิ์</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</si>
  <si>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27 หน่วยงาน (ตามเอกสาร S1449/01-14,S1449/16-22,S1449/27-30,S1449/32-33)</t>
  </si>
  <si>
    <t>คณะเศรษฐศาสตร์และบริหารธุรกิจ</t>
  </si>
  <si>
    <t>PR2-2560:1/19</t>
  </si>
  <si>
    <t>KTB 982-6-53082-4</t>
  </si>
  <si>
    <t>AP01110000060100013</t>
  </si>
  <si>
    <t>อาจารย์ ทวนธง ครุฑจ้อน</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</si>
  <si>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2</t>
  </si>
  <si>
    <t>PR2-2560:1/24</t>
  </si>
  <si>
    <t>AP01110000060110007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</si>
  <si>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14 หน่วยงาน (ตามเอกสาร 0631/01-0631/3,0631/5-0631/13,0631/16-0631/19)</t>
  </si>
  <si>
    <t>PR2-2560:1/25</t>
  </si>
  <si>
    <t>AP01110000060110010</t>
  </si>
  <si>
    <t>อ.ดร.พินิจ ดวงจินดา</t>
  </si>
  <si>
    <t>สัญญาจ้างเลขที่ 1/2560 จากองค์การบริหารส่วนตำบลนาเกตุ ตำบลนาเกตุ อำเภอโคกโพธิ์ จังหวัดปัตตานี ได้ว่าจ้างให้ทำการประเมินประสิทธิภาพและประสิทธิผลการปฏิบัติราชการ สำรวจความพึงพอใจของผู้บริหาร ตามคำรับรองการปฏิบัติราชการ ประจำปีงบประมาณ 2559 ในตัวชี้วัดที่ 1 มิติที่ 2 ด้านคุณภาพการให้บริการขององค์การบริหารส่วนตำบลนาเกตุ อำเภอโคกโพธิ์ จังหวัดปัตตานี (ตามเอกสาร 0642/1  และ 0642/2)</t>
  </si>
  <si>
    <t>PL2-2560:1/2</t>
  </si>
  <si>
    <t>AP01110000060110014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</si>
  <si>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9หน่วยงาน (ตามเอกสาร S1499/34 - S1499/42)</t>
  </si>
  <si>
    <t>PR2-2560:1/33</t>
  </si>
  <si>
    <t>AP01110000060110024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</si>
  <si>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19หน่วยงาน (ตามเอกสาร 0593/2-3,0593/5-8,0593/10-12,0593/15-16,0593/18,0593/21-24,0593/27-28,0593/31)</t>
  </si>
  <si>
    <t>PL2-2560:1/3</t>
  </si>
  <si>
    <t>AP01110000060120003</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</si>
  <si>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16หน่วยงาน (ตามเอกสาร 0630/3-4,0630/6,0630/8,0630/10,0630/12,0630/16-18,0630/20,0631/20-24,0631/27)</t>
  </si>
  <si>
    <t>PL2-2560:1/4</t>
  </si>
  <si>
    <t>AP01110000060120004</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</si>
  <si>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22หน่วยงาน (ตามเอกสาร 0593/1,0593/4,0593/9,0593/13,0593/17,0593/19-20,0593/25,0593/29-30,0593/32,0631/4,0631/15,0631/25,0630/1,0630/5,0630/9,0630/11,0630/13-15,0630/19)</t>
  </si>
  <si>
    <t>PL2-2560:1/5</t>
  </si>
  <si>
    <t>AP01110000060120007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</si>
  <si>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0630/2)</t>
  </si>
  <si>
    <t>PL2-2560:1/6</t>
  </si>
  <si>
    <t>AP01110000060120030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</si>
  <si>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7หน่วยงาน (ตามเอกสาร 0630/7,S1499/43-48)</t>
  </si>
  <si>
    <t>PL2-2560:1/7</t>
  </si>
  <si>
    <t>AP01110000060120037</t>
  </si>
  <si>
    <t>ธนาคารไทยพาณิชย์ จำกัด (มหาชน)</t>
  </si>
  <si>
    <t>บันทึกรายการรับดอกเบี้ยครึ่งปีหลังของปี2559</t>
  </si>
  <si>
    <t>สถาบันวิจัยและพัฒนา</t>
  </si>
  <si>
    <t>ธนาคารกรุงไทย จำกัด (มหาชน)</t>
  </si>
  <si>
    <t>รศ.ดร.ปุญญพัฒน์ ไชยเมลล์</t>
  </si>
  <si>
    <t>ข้อตกลงเลขที่ 59A00589 ลว.28/03/2559 เพื่อรับงบประมาณสนับสนุนการวิจัยจากสำนักงานหลักประกันสุขภาพแห่งชาติ เขต 12 สงขลา โครงการการติดตามเยี่ยมสำรวจเพื่อการพัฒนาคุณภาพบริการปฐมภูมิ ตามตัวชี้วัดเกณฑ์คุณภาพและผลงานบริการปฐมภูมิ งวดที่ 2 (ทุนสนับสนุนรวม 300,000 บาท)</t>
  </si>
  <si>
    <t>คณะวิทยาการสุขภาพและการกีฬา</t>
  </si>
  <si>
    <t>PR2-2560:2/15</t>
  </si>
  <si>
    <t>AP01110000060010010</t>
  </si>
  <si>
    <t>ดร.อรพินท์ บุญสิน</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</si>
  <si>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1</t>
  </si>
  <si>
    <t>คณะมนุษยศาสตร์และสังคมศาสตร์</t>
  </si>
  <si>
    <t>PR2-2560:2/18</t>
  </si>
  <si>
    <t>AP01110000060010039</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</si>
  <si>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4หน่วยงาน (ตามเอกสาร 0631/28-29 , 0631/31-32)</t>
  </si>
  <si>
    <t>PL2-2560:1/8</t>
  </si>
  <si>
    <t>AP01110000060010027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</si>
  <si>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2หน่วยงาน (ตามเอกสาร 0631/30 , 0631/33)</t>
  </si>
  <si>
    <t>PR2-2560:3/4</t>
  </si>
  <si>
    <t>AP01110000060020025</t>
  </si>
  <si>
    <t>อ.ดร.นันทรัตน์ พฤกษาพิทักษ์</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</si>
  <si>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2</t>
  </si>
  <si>
    <t>PR2-2560:3/5</t>
  </si>
  <si>
    <t>SCB 403-487220-3</t>
  </si>
  <si>
    <t>AP01110000060030007</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</si>
  <si>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S-1499/49)</t>
  </si>
  <si>
    <t>PL2-2560:1/9</t>
  </si>
  <si>
    <t>AP0111000060030022</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</si>
  <si>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2</t>
  </si>
  <si>
    <t>PR2-2560:3/30</t>
  </si>
  <si>
    <t>AP01110000060030034</t>
  </si>
  <si>
    <t>อาจารย์ ดร.ทวีเดช ไชยนาพงษ์</t>
  </si>
  <si>
    <t>เงินค่าธรรมเนียม ร้อยละ 10 ตามระเบียบคณะกรรมการการเงินและทรัพย์สิน ว่าด้วยการบริหารจัดการทุนอุดหนุนการวิจัยจากแหล่งทุนภายนอก พ.ศ.2557 โดยคำนวณจากยอดเงินสนับสนุนการวิจัยประจำปี 2559 เรื่อง ผลิตภัณฑ์มูลค่าเพิ่มจากสวนผลไม้โดยใช้กรีนเทคโนโลยี กรณีศึกษาสวนผลไม้ชุมชนตำบลหนองธง อ.ป่าบอน จังหวัดพัทลุง (ทุนวิจัยรวม 2,000,000.00 บาท ซึ่งงวดที่ 1 ยอดรับ 570,000 บาท งวดที่ 2 ยอดรับ 760,000 บาท)</t>
  </si>
  <si>
    <t>สถาบันปฏิบัติการชุมชนเพื่อการศึกษาแบบบูรณาการ</t>
  </si>
  <si>
    <t>PR2-2560:3/34</t>
  </si>
  <si>
    <t>ผู้ช่วยศาสตราจารย์ ดร.อมลวรรณ วีระธรรมโม</t>
  </si>
  <si>
    <t>ทุนอุดหนุนการวิจัยจากสำนักงานเครือข่ายอุดมศึกษาภาคใต้ตอนล่าง โครงการการพัฒนาศักยภาพครูและนักเรียนในระดับประถมศึกษาให้มีทักษะศตวรรษที่ 21 และส่งเสริมคุณธรรมจริยธรรมผ่านกิจกรรมลดเวลาเรียนเพิ่มเวลารู้ ในสถานศึกษาระดับประถมศึกษา จังหวัดสงขลา โดยใช้กระบวนการสอนงานและเป็นพี่เลี้ยง วงเงินทั้งหมด 900,000.00 บาท</t>
  </si>
  <si>
    <t>PR2-2560:3/44</t>
  </si>
  <si>
    <t>AP01110000060040012</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</si>
  <si>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1 เป็นเงิน 360,000.00 บาท แต่หักค่าประกันผลงานไว้ 5% จากเงินที่ได้รับในแต่ละงวด</t>
  </si>
  <si>
    <t>PR2-2560:3/45</t>
  </si>
  <si>
    <t>AP01110000060040013</t>
  </si>
  <si>
    <t>ผศ.ดร.สมพงศ์ โอทอง</t>
  </si>
  <si>
    <t>สัญญาเลขที่ b3/2560 สัญญารับทุนอุดหนุนการวิจัยและพัฒนาภาครัฐร่วมเอกชนในเชิงพาณิชย์ ประจำปีงบประมาณ พ.ศ.2560 ของสำนักงานคณะกรรมการอุดมศึกษา โดยผู้ให้ทุนสนับสนุนการทำวิจัย เรื่อง การพัฒนาผลิตภัณฑ์ชีวบำบัดภัณฑ์จากแบคทีเรียเพื่อทำความสะอาดพื้นที่ปนเบื้อนน้ำมันและไขมัน จากผู้ให้ทุนที่ 1 เครือข่ายบริหารการวิจัยภาคใต้ตอนล่าง-โครงการวิจัยรัฐร่วมเอกชนในเชิงพาณิชย์(สำนักวิจัยและพัฒนา มหาวิทยาลัยสงขลานครินทร์) วงเงิน 490,000.00 บาท และจากผู้ให้ทุนที่ 2 ห้างหุ้นส่วนจำกัด ไวท์บ๊อกซ์โซลูชั่นส์ 2011 สนับสนุนทุนวิจัย 210,000.00 บาท รวมวงเงินตามสัญญา 700,000.00 บาท</t>
  </si>
  <si>
    <t>PR2-2560:3/48</t>
  </si>
  <si>
    <t>AP01110000060040020</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</si>
  <si>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1หน่วยงาน (ตามเอกสาร S-1499/50)</t>
  </si>
  <si>
    <t>PR2-2560:4/8</t>
  </si>
  <si>
    <t>AP01110000060040028</t>
  </si>
  <si>
    <t>ผศ.ดร.อมลวรรณ วีระธรรมโม</t>
  </si>
  <si>
    <t>เงินสนับสนุนการวิจัยจากงบบริหารจัดการโครงการผลิตครูที่มีความสามารถเศษทางด้านวิทยาศาสตร์และคณิตศาสตร์ (นำส่งเพียงยอดค่าธรรมเนียมทุนวิจัยภายนอกร้อยละ 10 จากยอดรับ 100,000.00 บาท) โดยเอกสารอ้างอิงเกี่ยวกับรายการนี้เริ่มจากนำส่งเงินเข้าเงินรับฝาก-โครงการ สควค. คณะศึกษาศาสตร์ ด้วยยอด 100,000.00 บาท (จากการรับตามใบเสร็จ SL2-2560:1/28 ลว.18/10/2559) พร้อมเบิกจ่ายทั้งก้อนไปด้วยยอดเงิน 100,000.00 บาท (ตามเอกสาร AP01020000160100002) ภายหลังตรวจสอบพบว่าเป็นรายการทุนวิจัยภายนอกจึงเบิกเต็มจำนวนไม่ได้โดยขอให้นักวิจัยคืนเงิน 10% (โดยเอกสารอ้างอิง RV00300000560050120 เลขที่ใบเสร็จ SL2-2560:9/32) ทั้งนี้ได้ปรับปรุงตามบันทึกของสถาบันวิจัยให้ถูกต้องตามบัญชีโดยขอปรับจากบัญชีเงินรับฝาก-โครงการ สควค. คณะศึกษาศาสตร์ 10,000 บาท (ลดยอดบัญชีด้วย JV01100200360050103) และแบ่ง 50% ให้แก่บัญชีกองทุนวิจัยมหาวิทยาลัยทักษิณ 5,000 บาท(เอกสารปรับปรุง JV01100200360050104) กับบัญชีเงินรับฝาก-คณะศึกษาศาสตร์ด้วยยอด 5,000 บาท(เอกสารปรับปรุง JV01100200360050103)</t>
  </si>
  <si>
    <t>SL2-2560:1/28,JV01100200360050104</t>
  </si>
  <si>
    <t>SCB 691-235949-4 (สาขาสามแยกสำโรง)</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</si>
  <si>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3</t>
  </si>
  <si>
    <t>PR2-2560:4/26</t>
  </si>
  <si>
    <t>AP01110000060050025</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</si>
  <si>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ขององค์การบริหารส่วนตำบลควนรู (ตามเอกสารใบนำส่งเงิน เล่มที่ 0714 เลขที่ 1)</t>
  </si>
  <si>
    <t>PR2-2560:4/45</t>
  </si>
  <si>
    <t>AP01110000060060012</t>
  </si>
  <si>
    <t>ผศ.ดร.ศิริลักษณ์ ช่วยพนัง</t>
  </si>
  <si>
    <t>ทุนอุดหนุนดำเนินการวิจัยตามโครงการวิจัยพัฒนาและวิศวกรรมเรื่อง การกำจัดต้นกงในทะเลน้อยโดยการผลิตก๊าซชีวภาพด้วยระบบหมักแบบไร้อากาศ งวดที่ 2 งบประมาณทั้งโครงการ 250,000 บาท</t>
  </si>
  <si>
    <t>PR2-2560:5/3</t>
  </si>
  <si>
    <t>KTB 981-2-81043-9</t>
  </si>
  <si>
    <t>AP01110000060060028</t>
  </si>
  <si>
    <t>อ.ดร.นิรมล จันทรชาติ</t>
  </si>
  <si>
    <t>ทุนอุดหนุนดำเนินการวิจัยตามโครงการวิจัยพัฒนาและวิศวกรรมเรื่อง การคำนวณและการดูดซับโลหะหนักในน้ำ โดยใช้โครงสร้างคอนเดนส์แทนนินในวัสดุธรรมชาติเป็นตัวดูดซับ งวดที่ 2 งบประมาณทั้งโครงการ 250,000 บาท</t>
  </si>
  <si>
    <t>PR2-2560:5/7</t>
  </si>
  <si>
    <t>AP01110000060070001</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</si>
  <si>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3</t>
  </si>
  <si>
    <t>PR2-2560:5/27</t>
  </si>
  <si>
    <t>AP01110000060070033</t>
  </si>
  <si>
    <t>รศ.ดร.นิรันดร์ จุลทรัพย์</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</si>
  <si>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2 แบ่งจ่าย 30% จากรายรับทั้งหมดเป็นเงิน 60,000 บาทแต่หักค่าประกันผลงานไว้ 5% จากยอดเงินงวด</t>
  </si>
  <si>
    <t>PR2-2560:5/28</t>
  </si>
  <si>
    <t>สัญญาจ้างเลขที่ 19/2560 จากสำนักงานเลขาธิการสภาการศึกษา มีความประสงค์จะจ้างที่ปรึกษาเพื่อปฏิบัติงานตามโครงการวิจัยและพัฒนารูปแบบ กลไกลการเสริมสร้างวินัยในสถานศึกษาระดับการศึกษาขั้นพื้นฐานด้านการมีจิตอาสา เสียสละ เห็นอกเห็นใจผู้อื่น วงเงินทั้งหมดของสัญญา 1,200,000.00 บาท ซึ่งในวันที่ 29/03/2560 เงินโอนเข้าบัญชีเป็นรายการงวดที่ 2 เป็นเงิน 600,000.00 บาท แต่หักค่าประกันผลงานไว้ 5% จากเงินที่ได้รับในแต่ละงวด</t>
  </si>
  <si>
    <t>PR2-2560:5/34</t>
  </si>
  <si>
    <t>AP01110000060080017</t>
  </si>
  <si>
    <t>ทุนอุดหนุนดำเนินการวิจัยแผนงานวิจัยเรื่อง สำรวจระดับความพึงพอใจของผู้ใช้บริการรถไฟปี 2559 จากฝ่ายการเดินรถ การรถไฟแห่งประเทศไทย ในวงเงินราคากลาง 2,030,000.00 บาท งวดที่ 3</t>
  </si>
  <si>
    <t>PR2-2560:5/43</t>
  </si>
  <si>
    <t>AP01110000060080032</t>
  </si>
  <si>
    <t>สัญญาจ้างจัดทำโรงการศึกษาวิจัย การจัดการเพื่อการพัฒนาชุมชนเมืองและที่อยู่อาศัยในเขตการค้าชายแดนไทย-มาเลเชีย ตามสัญญาเลขที่ พด.223/59 จากหน่วยงานการเคหะแห่งชาติ งวดที่ 4</t>
  </si>
  <si>
    <t>PR2-2560:6/30</t>
  </si>
  <si>
    <t>AP01110000060090058</t>
  </si>
  <si>
    <t>ทุนอุดหนุนการวิจัยส่งเสริมและสนับสนุนการวิจัยที่มุ่งเป้าด้านพลาสติกชีวภาพ ประจำปีงบประมาณ 2559 จากสำนักงานพัฒนาเศรษฐกิจจากฐานชีวภาพ(องค์การมหาชน) ตามสัญญาเลขที่ สพภ.-วช.31/2559 งวดที่ 3/1</t>
  </si>
  <si>
    <t>PR2-2560:6/28</t>
  </si>
  <si>
    <t>AP01110000060090059</t>
  </si>
  <si>
    <t>PR2-2560:6/31</t>
  </si>
  <si>
    <t>- เงินรับจาก หจก.ไวท์บ็อกซ์โซลูชั่น2011 ค่าครุภัณฑ์ 2 รายการ</t>
  </si>
  <si>
    <t>1. ถังปฏิกรณ์เพาะเลี้ยงจุลินทรีย์ขนาด 500 ลิตร มูลค่า 130,000 บ.</t>
  </si>
  <si>
    <t>2. เครื่องเก็บภายใต้สูญญากาศ มูลค่า 80,000 บ.</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</si>
  <si>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200,000 บาท โดยงวดที่ 3 แบ่งจ่าย 40% จากรายรับทั้งหมดเป็นเงิน 80,000 บาทแต่หักค่าประกันผลงานไว้ 5% จากยอดเงินงวด</t>
  </si>
  <si>
    <t>PR2-2560:6/32</t>
  </si>
  <si>
    <t>AP01110000060090062</t>
  </si>
  <si>
    <t>สัญญาจ้างผู้เชียวชาญรายบุคคลหรือจ้างบริษัทที่ปรึกษาของสำนักงานเลขาธิการสภาการศึกษา สัญญาที่26/2559 โดยผู้ว่าจ้างมีความประสงค์จะจ้างที่ปรึกษาเพื่อปฏิบัติงานศึกษาแนวโน้มความต้องการกำลังคนของตลาดแรงงานและการจ้างงานในอนาคตกับการพัฒนาคุณภาพการศึกษาในจังหวัดชายแดนภาคใต้ เงินงบประมาณโดยรวม 6,000 บาท ค่าประกันผลงานงวดที่ 1 = 3,000 บ. งวดที่ 2 = 3,000 บ. งวดที่ 3 = 4,000 บ.</t>
  </si>
  <si>
    <t>สัญญาจ้างที่ปรึกษาเลขที่ 43/2558 จากเทศบาลนครสงขลา ว่าจ้างเป็นที่ปรึกษาโครงการวิจัยของเทศบาลนครสงขลา ตั้งแต่ปี 2559 เรื่อง การสร้างและพัฒนาหลักสูตรความเป็นเลิศด้านวิทยาศาสตร์ (แผนการเรียนวิทยาศาสตร์ตั้งแต่ระดับอนุบาลศึกษาไปจนถึงระดับมัธยมศึกษาตอนปลาย เพื่อบ่มเพาะผู้เรียนให้มีความเป็นเลิศด้านวิทยาศาสตร์) (งบประมาณรวม 7,000,000.00 บาท) งวดที่ 4</t>
  </si>
  <si>
    <t>PR2-2560:6/36</t>
  </si>
  <si>
    <t>AP011100000600900066</t>
  </si>
  <si>
    <t>ทุนอุดหนุนดำเนินการวิจัยแผนงานวิจัยเรื่อง สำรวจความพึงพอใจของประชาชนที่มีผลต่อการดำเนินงานขององค์กรปกครองส่วนท้องถิ่น ประจำปีงบประมาณ พ.ศ.2556-2560 จำนวน 6 หน่วยงาน (ตามเอกสาร 0714/2-6, 0714/8)</t>
  </si>
  <si>
    <t>PL2-2560:1/17</t>
  </si>
  <si>
    <t>AP01110000061100007</t>
  </si>
  <si>
    <t>มหาวิทยาลัยทักษิณ วิทยาเขตพัทลุง</t>
  </si>
  <si>
    <t>รายละเอียดเงินรับรายได้ประเภททุนสนับสนุนเพื่อการวิจัย</t>
  </si>
  <si>
    <t>สำหรับปีงบประมาณ 2561  ระยะเวลาดำเนินการ 1  ตุลาคม 2560  สิ้นสุด 30 กันยายน 2561</t>
  </si>
  <si>
    <t>ลำดับ
ที่</t>
  </si>
  <si>
    <t>ข้อมูลการรับเงิน</t>
  </si>
  <si>
    <t>ค่าธรรมเนียมการวิจัย ตามระเบียบฯว่าด้วย การบริหารจัดการทุนอุดหนุน
การวิจัยจากแหล่งทุนภายนอก พ.ศ. 2557</t>
  </si>
  <si>
    <t>จัดสรรเป็น
ยอดเงินเบิกจ่าย
เพื่อการวิจัย</t>
  </si>
  <si>
    <t>วันที่</t>
  </si>
  <si>
    <t>เลขที่ใบสำคัญ</t>
  </si>
  <si>
    <t>ชื่อ-สกุล (นักวิจัย)</t>
  </si>
  <si>
    <t>หน่วยงานที่สังกัด</t>
  </si>
  <si>
    <t>รับจากหน่วยงาน</t>
  </si>
  <si>
    <t>คำอธิบายรายการ</t>
  </si>
  <si>
    <t>จำนวนเงินรับ
(100%)</t>
  </si>
  <si>
    <t>กรณีแหล่งทุนให้หักค่าธรรมเนียม
ตามระเบียบมหาวิทยาลัย
(10%จากยอดรับทั้งหมด)</t>
  </si>
  <si>
    <t>กรณีแหล่งทุนมีเงื่อนไขพิเศษอื่น ๆ
(อาทิเช่น ยกเว้นการหักค่าธรรมเนียม/
ระบุจำนวนเงินที่บำรุงมหาวิทยาลัย)</t>
  </si>
  <si>
    <t xml:space="preserve">จัดสรรให้แก่
กองทุนวิจัย
ม. ทักษิณ
</t>
  </si>
  <si>
    <t xml:space="preserve">จัดสรรให้แก่สำนักงาน/คณะ/
สาขาของนักวิจัย
</t>
  </si>
  <si>
    <r>
      <rPr>
        <b/>
        <u/>
        <sz val="13"/>
        <color theme="1"/>
        <rFont val="TH SarabunPSK"/>
        <family val="2"/>
      </rPr>
      <t>ยกเว้น</t>
    </r>
    <r>
      <rPr>
        <b/>
        <sz val="13"/>
        <color theme="1"/>
        <rFont val="TH SarabunPSK"/>
        <family val="2"/>
      </rPr>
      <t xml:space="preserve">
ค่าธรรมเนียม
การวิจัย</t>
    </r>
  </si>
  <si>
    <t>สำนักงานมหาวิทยาลัย - วิทยาเขตสงขลา</t>
  </si>
  <si>
    <t>12/10/2560</t>
  </si>
  <si>
    <t>PR2-2561:1/9</t>
  </si>
  <si>
    <t>RV02050200361100151
RV02050200361100148</t>
  </si>
  <si>
    <t>องค์กรปกครองส่วนท้องถิ่น
จำนวน 20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</si>
  <si>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</si>
  <si>
    <t>16/10/2560</t>
  </si>
  <si>
    <t>PR2-2561:1/10</t>
  </si>
  <si>
    <t>RV02050200361100152
RV02050200361100153</t>
  </si>
  <si>
    <t>องค์กรปกครองส่วนท้องถิ่น
จำนวน 12 หน่วยงาน</t>
  </si>
  <si>
    <t>24/10/2560</t>
  </si>
  <si>
    <t>PR2-2560:1/18</t>
  </si>
  <si>
    <t>RV02050200361100204
RV02050200361100205</t>
  </si>
  <si>
    <t>อ.ดร.จิดาภา สุวรรณฤกษ์</t>
  </si>
  <si>
    <t>วิทยาลัยนานาชาติ</t>
  </si>
  <si>
    <t>วัดพุทธาราม กรุงลอนดอน สหราชอาณาจักร</t>
  </si>
  <si>
    <r>
      <t xml:space="preserve">ตามหนังสือส่วนงาน วิทยาลัยนานาชาติ 
ที่ ศธ 64.114/0590 เรื่อง ขอนำส่งเงิน
ค่าธรรมเนียมการวิจัย จากการดำเนินการ
วิจัยเรื่อง Model of continuing
Education and Learning Resources 
Management for Buddha ram 
Temple in Development of Human
Resources and Sustainability of Thai
Arts, Culture and Local Wisdom
among Thai Buddhists in the Unites
kingdom รูปแบบการจัดการศึกษาต่อเนื่อง
และแหล่งเรียนรู้ในวัดพุทธารามเพื่อส่งเสริม
การพัฒนาทรัพยากรมนุษย์ ด้านทำนุบำรุง
ศิลปวัฒนธรรมไทย ภูมิปัญญาท้องถิ่นในกับ
พุทธศาสนิกชนไทยในสหราชอาณาจักร 
</t>
    </r>
    <r>
      <rPr>
        <b/>
        <sz val="13"/>
        <color theme="1"/>
        <rFont val="TH SarabunPSK"/>
        <family val="2"/>
      </rPr>
      <t>(งบประมาณสนับสนุน 300,000 บาท)</t>
    </r>
  </si>
  <si>
    <t>30/10/2560</t>
  </si>
  <si>
    <t>PL2-2561:1/1</t>
  </si>
  <si>
    <t>RV02050200361100227
RV02050200361100228</t>
  </si>
  <si>
    <t>องค์กรปกครองส่วนท้องถิ่น
จำนวน 4 หน่วยงาน</t>
  </si>
  <si>
    <t>06/11/2560</t>
  </si>
  <si>
    <t>PL2-2561:1/2</t>
  </si>
  <si>
    <t>RV02050200361110070
RV02050200361110071</t>
  </si>
  <si>
    <t>PL2-2561:1/5</t>
  </si>
  <si>
    <t>RV02050200361110216
RV02050200361110217</t>
  </si>
  <si>
    <t>องค์กรปกครองส่วนท้องถิ่น
จำนวน 15 หน่วยงาน</t>
  </si>
  <si>
    <t>24/11/2560</t>
  </si>
  <si>
    <t>PL2-2561:1/4</t>
  </si>
  <si>
    <t>RV02050200361110218
RV02050200361110219</t>
  </si>
  <si>
    <t>องค์กรปกครองส่วนท้องถิ่น
จำนวน 24 หน่วยงาน</t>
  </si>
  <si>
    <t>PL2-2561:1/3</t>
  </si>
  <si>
    <t>RV02050200361110220
RV02050200361110221</t>
  </si>
  <si>
    <t>อาจารย์ ดร.พินิจ ดวงจินดา</t>
  </si>
  <si>
    <t>องค์กรปกครองส่วนท้องถิ่น
จำนวน 2 หน่วยงาน</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</si>
  <si>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พ.ศ.2560 </t>
  </si>
  <si>
    <t>PR2-2561:1/30</t>
  </si>
  <si>
    <t>RV02050200361110222</t>
  </si>
  <si>
    <t>อาจารย์ ชิโนรส รุ่งสกุล</t>
  </si>
  <si>
    <t>คณะศิลปกรรมศาสตร์</t>
  </si>
  <si>
    <t>มหาวิทยาลัยสงขลานครินทร์</t>
  </si>
  <si>
    <r>
      <t xml:space="preserve">สัญญาเลขที่ CE02/2560 สัญญารับทุน
เพื่อดำเนินโครงการ Innovation 
Hub-Creative Economy เพื่อสร้าง
เศรษฐกิจฐานนวัตกรรมของประเทศตาม
นโยบายประเทศไทย 4.0 โดยสนับสนุน
การวิจัยเรื่อง พัฒนาใบไม้สีทองให้สามารถ
นำไปผลิตเป็นกระเป๋าได้ งวดที่ 1 
</t>
    </r>
    <r>
      <rPr>
        <b/>
        <sz val="13"/>
        <color theme="1"/>
        <rFont val="TH SarabunPSK"/>
        <family val="2"/>
      </rPr>
      <t>(ร้อยละ 70 ของเงินงบประมาณทั้งสิ้น
500,000.00 บาท)</t>
    </r>
  </si>
  <si>
    <t>R</t>
  </si>
  <si>
    <t>30/11/2560</t>
  </si>
  <si>
    <t>PL2-2561:1/6</t>
  </si>
  <si>
    <t>RV02050200361110268
RV02050200361110269</t>
  </si>
  <si>
    <t>องค์กรปกครองส่วนท้องถิ่น
จำนวน 10 หน่วยงาน</t>
  </si>
  <si>
    <t>PL2-2561:1/7</t>
  </si>
  <si>
    <t>RV02050200361110270
RV02050200361110271</t>
  </si>
  <si>
    <t>องค์กรปกครองส่วนท้องถิ่น
จำนวน 1 หน่วยงาน</t>
  </si>
  <si>
    <t>14/12/2560</t>
  </si>
  <si>
    <t>PL2-2561:1/10</t>
  </si>
  <si>
    <t>RV02050200361120099
RV02050200361120100</t>
  </si>
  <si>
    <t>องค์กรปกครองส่วนท้องถิ่น
จำนวน 17 หน่วยงาน</t>
  </si>
  <si>
    <t>22/12/2560</t>
  </si>
  <si>
    <t>PL2-2561:1/12</t>
  </si>
  <si>
    <t>RV02050200361120187
RV02050200361120188</t>
  </si>
  <si>
    <t>องค์กรปกครองส่วนท้องถิ่น
จำนวน 5 หน่วยงาน</t>
  </si>
  <si>
    <t>29/12/2560</t>
  </si>
  <si>
    <t>PR2-2561:2/4</t>
  </si>
  <si>
    <t>RV02050200361120272</t>
  </si>
  <si>
    <t xml:space="preserve">การเคหะแห่งชาติ </t>
  </si>
  <si>
    <t>สัญญาจ้างจัดทำโรงการศึกษาวิจัย 
การจัดการเพื่อการพัฒนาชุมชนเมืองและ
ที่อยู่อาศัยในเขตการค้าชายแดนไทย-
มาเลเชีย ตามสัญญาเลขที่ พด.223/59 
จากหน่วยงานการเคหะแห่งชาติ 
งบประมาณทั้งสิ้น 2,320,000.00 บาท 
ซึ่งดำเนินการเสร็จสิ้นแล้วทางผู้จ้างได้จ่าย
คืนเงินค่าหลักประกันผลงาน</t>
  </si>
  <si>
    <t>03/01/2561</t>
  </si>
  <si>
    <t>PR2-2561:2/10</t>
  </si>
  <si>
    <t>RV02050200361010008
RV02050200361010009</t>
  </si>
  <si>
    <t>ผศ.ดร.มณฑนา พิพัฒน์เพ็ญ</t>
  </si>
  <si>
    <t>สำนักงานปลัดกระทรวงยุติธรรม</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</si>
  <si>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1 ร้อยละ 20 คิดเป็นเงิน 
200,000 บาท โดยหักค่าประกันผลงาน
ร้อยละ 5 ของเงินงวดเหลือเงินโอนเข้า
บัญชี 190,000 บาท</t>
  </si>
  <si>
    <t>08/01/2561</t>
  </si>
  <si>
    <t>PR2-2561:2/15</t>
  </si>
  <si>
    <t>RV02050200361010064</t>
  </si>
  <si>
    <t>ฝ่ายการเดินรถ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</si>
  <si>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บริการรถไฟปี 2559 จากฝ่ายการเดินรถ 
การรถไฟแห่งประเทศไทย ในวงเงินราคา
กลาง 2,030,000.00 บาท 
</t>
    </r>
    <r>
      <rPr>
        <b/>
        <sz val="13"/>
        <color theme="1"/>
        <rFont val="TH SarabunPSK"/>
        <family val="2"/>
      </rPr>
      <t>(เงินประกันผลงาน จากงานแล้วเสร็จ)</t>
    </r>
  </si>
  <si>
    <t>PL2-2561:1/13</t>
  </si>
  <si>
    <t>RV02050200361010065
RV02050200361010066</t>
  </si>
  <si>
    <t>องค์กรปกครองส่วนท้องถิ่น
จำนวน 7 หน่วยงาน</t>
  </si>
  <si>
    <t>16/01/2561</t>
  </si>
  <si>
    <t>PL2-2561:1/16</t>
  </si>
  <si>
    <t>RV02050200361010168
RV02050200361010169</t>
  </si>
  <si>
    <t>22/01/2561</t>
  </si>
  <si>
    <t>PL2-2561:1/17</t>
  </si>
  <si>
    <t>RV02050200361010258
RV02050200361010259</t>
  </si>
  <si>
    <t>PR2-2560:2/21</t>
  </si>
  <si>
    <t>RV02050200361010260
RV02050200361010261</t>
  </si>
  <si>
    <t>สำนักงานเลขาธิการสภาการศึกษา</t>
  </si>
  <si>
    <r>
      <t xml:space="preserve">สัญญาจ้างเลขที่ 19/2560 จากสำนักงาน
เลขาธิการสภาการศึกษา มีความประสงค์
จะจ้างที่ปรึกษาเพื่อปฏิบัติงานตาม
โครงการวิจัยและพัฒนารูปแบบ กลไกล
การเสริมสร้างวินัยในสถานศึกษาระดับ
การศึกษาขั้นพื้นฐานด้านการมีจิตอาสา
เสียสละเห็นอกเห็นใจผู้อื่น วงเงินทั้งหมด
ของสัญญา 1,200,000.00 บ. 
</t>
    </r>
    <r>
      <rPr>
        <b/>
        <sz val="13"/>
        <color theme="1"/>
        <rFont val="TH SarabunPSK"/>
        <family val="2"/>
      </rPr>
      <t>(รายการงวดที่ 3 เป็นเงิน 228,000.- บ.
พร้อมเงินค่าประกันผลงานไว้ 5% จาก
เงินที่ได้รับในงวดที่ 3 เป็นเงิน 12,000บ.)</t>
    </r>
  </si>
  <si>
    <t>02/02/2561</t>
  </si>
  <si>
    <t>PR1-2561:32/23</t>
  </si>
  <si>
    <t>RV02050200361020012
RV02050200361020013</t>
  </si>
  <si>
    <t>อาจารย์ปพนธียร์ ธีระพันธ์</t>
  </si>
  <si>
    <t>คณะนิติศาสตร์</t>
  </si>
  <si>
    <t>สำนักงานคณะกรรมการ
วิจัยแห่งชาติ</t>
  </si>
  <si>
    <r>
      <t xml:space="preserve">ค่าธรรมเนียมการวิจัย 10% จากยอดรวม
ทุนอุดหนุนการวิจัยตามงบประมาณทั้งสิ้น 
330,000 บาท โครงการวิจัยเรื่องการพัฒนา
กฎหมายเกี่ยวกับทะเบียนประวัติอาชญากร
ของเด็กและเยาวชน 
</t>
    </r>
    <r>
      <rPr>
        <b/>
        <sz val="13"/>
        <color theme="1"/>
        <rFont val="TH SarabunPSK"/>
        <family val="2"/>
      </rPr>
      <t>(ตามสัญญาที่ วช.(0)(กบง)/150/2560)</t>
    </r>
  </si>
  <si>
    <t>05/02/2561</t>
  </si>
  <si>
    <t>PL2-2561:1/18</t>
  </si>
  <si>
    <t>RV02050200361020033
RV02050200361020034</t>
  </si>
  <si>
    <t>08/02/2561</t>
  </si>
  <si>
    <t>PR2-2560:2/39
PR2-2560:2/40</t>
  </si>
  <si>
    <t>RV02050200361020097
RV02050200361020098</t>
  </si>
  <si>
    <t>สำนักงานเลขาธิการสภา
การศึกษา</t>
  </si>
  <si>
    <t xml:space="preserve">สัญญาจ้างเลขที่ 19/2560 จ้างที่ปรึกษา
เพื่อปฏิบัติงานตามโครงการวิจัยและพัฒนา
รูปแบบ กลไกลการเสริมสร้างวินัยใน
สถานศึกษาระดับการศึกษาขั้นพื้นฐาน
ด้านการมีจิตอาสา เสียสละ เห็นอกเห็นใจ
ผู้อื่น งวดที่ 1 </t>
  </si>
  <si>
    <t>20/02/2561</t>
  </si>
  <si>
    <t>PR2-2561:2/47</t>
  </si>
  <si>
    <t>RV02050200361020206
RV02050200361020207</t>
  </si>
  <si>
    <t>อาจารย์ ดร.นวลพรรณ วรรณสุธี</t>
  </si>
  <si>
    <r>
      <t xml:space="preserve">สัญญาจ้างผู้เชียวชาญรายบุคคลหรือจ้าง
บริษัทที่ปรึกษาเลขที่ 51/2558 ว่าจ้างที่
ปรึกษาโครงการนำร่อง "จังหวัดประชาคม
ปฏิรูปการเรียนรู้" (Empowering Reform 
Provinces) ของจังหวัดสตูลในงบประมาณ 
690,000 บาท
</t>
    </r>
    <r>
      <rPr>
        <b/>
        <sz val="13"/>
        <color theme="1"/>
        <rFont val="TH SarabunPSK"/>
        <family val="2"/>
      </rPr>
      <t>(เงินคืนค่าประกันผลงาน งวดที่ 1)</t>
    </r>
  </si>
  <si>
    <t>PR2-2561:2/48</t>
  </si>
  <si>
    <t>RV02050200361020208
RV02050200361020209</t>
  </si>
  <si>
    <t>สำนักงานปลัดกระทรวง
ยุติธรรม</t>
  </si>
  <si>
    <t>สัญญาจ้างที่ปรึกษาเลขที่ 134/2560 ว่าจ้าง
ให้เป็นที่ปรึกษาโครงการปฏิบัติการการจัด
การศึกษาเพื่อสร้างทักษะชีวิตสำหรับเด็ก
และเยาวชนในสถานพินิจและคุ้มครองเด็ก
และเยาวชนและศูนย์ฝึกและอบรมเด็กและ
เยาวชนในจังหวัดชายแดนภาคใต้ งวดที่ 2</t>
  </si>
  <si>
    <t>16/03/2561</t>
  </si>
  <si>
    <t>PR2-2560:3/20</t>
  </si>
  <si>
    <t>RV02050200361030121
RV02050200361030122</t>
  </si>
  <si>
    <t>สถาบันปฏิบัติการชุมชน
เพื่อการศึกษาแบบ
บูรณาการ</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</si>
  <si>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
จากแหล่งทุนภายนอก พ.ศ.2557 โดยคำนวณจากยอดเงินสนับสนุนการวิจัย
ประจำปี 2559 เรื่อง ผลิตภัณฑ์มูลค่าเพิ่ม
จากสวนผลไม้โดยใช้กรีนเทคโนโลยี กรณีศึกษาสวนผลไม้ชุมชนตำบลหนองธง 
อ.ป่าบอน จังหวัดพัทลุง 
</t>
    </r>
    <r>
      <rPr>
        <b/>
        <sz val="13"/>
        <color theme="1"/>
        <rFont val="TH SarabunPSK"/>
        <family val="2"/>
      </rPr>
      <t>(เงินงวด 380,000 บาท X 10%)</t>
    </r>
  </si>
  <si>
    <t>20/03/2561</t>
  </si>
  <si>
    <t>PR2-2561:3/22</t>
  </si>
  <si>
    <t>RV02050200361030157</t>
  </si>
  <si>
    <t>ผู้ช่วยศาสตราจารย์ ดร.อุษา อ้นทอง</t>
  </si>
  <si>
    <t xml:space="preserve">สำนักงานพัฒนาเศรษฐกิจ
จากฐานชีวภาพ
(องค์การมหาชน) </t>
  </si>
  <si>
    <r>
      <t xml:space="preserve">ทุนอุดหนุนดำเนินการวิจัย เรื่อง โครงการการกำจัดก๊าซไฮโดรเจนซัลไฟด์ในก๊าซชีวภาพด้วยระบบ Denitrifying Sulfide Remaoval  งวดที่ 1
</t>
    </r>
    <r>
      <rPr>
        <b/>
        <sz val="13"/>
        <color theme="1"/>
        <rFont val="TH SarabunPSK"/>
        <family val="2"/>
      </rPr>
      <t>(ตามสัญญาให้ทุนจะหักค่าธรรมเนียม
วิจัยในงวดสุดท้ายด้วยยอด 41,900 บ.)</t>
    </r>
  </si>
  <si>
    <t>27/03/2561</t>
  </si>
  <si>
    <t>PL2-2561:1/19</t>
  </si>
  <si>
    <t>RV02050200361030213</t>
  </si>
  <si>
    <t>องค์การบริหารส่วนตำบล
ทุ่งหวัง</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</si>
  <si>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พ.ศ.2556-2560 
</t>
    </r>
    <r>
      <rPr>
        <b/>
        <sz val="13"/>
        <color theme="1"/>
        <rFont val="TH SarabunPSK"/>
        <family val="2"/>
      </rPr>
      <t>(เงินค่าประกันผลงานไม่หักค่าธรรมเนียม)</t>
    </r>
  </si>
  <si>
    <t>03/04/2561</t>
  </si>
  <si>
    <t>PR2-2560:3/42</t>
  </si>
  <si>
    <t>RV02050200361040015
RV02050200361040016</t>
  </si>
  <si>
    <t>สำนักงานเครือข่ายอุดมศึกษาภาคใต้ตอนล่าง</t>
  </si>
  <si>
    <t>เงินสนับสนุนการวิจัยเรื่อง การจัดกระบวน
การเรียนรู้เพื่อเสริมสร้างนักเรียนให้มีทักษะศตวรรษที่ 21 และส่งเสริมคุณธรรมจริยธรรม
ผ่านกิจกรรมลดเวลาเรียนเพิ่มเวลารู้ โดยใช้
กระบวนการชุมชนวิชาชีพครู (Professional
Learning Community) และการสอนงาน
เป็นพี่เลี้ยง (Coaching and Mentoring) 
ในสถานศึกษาระดับประถมศึกษาจังหวัดสงขลา-ภายใต้โครงการพัฒนาคุณภาพ
การศึกษาและการพัฒนาท้องถิ่นโดยมี
สถาบันอุดมศึกษาเป็นพี่เลี้ยงประจำปี2561 
งบประมาณทั้งสิ้น 960,000.00 บาท</t>
  </si>
  <si>
    <t>19/04/2561</t>
  </si>
  <si>
    <t>PR2-2561:3/50</t>
  </si>
  <si>
    <t>RV02050200361040160
RV02050200361040161</t>
  </si>
  <si>
    <t>อาจารย์ ดร.อรพินท์ บุญสิน</t>
  </si>
  <si>
    <t>กลุ่มธุรกิจการเดินรถ 
การรถไฟแห่งประเทศไทย</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</si>
  <si>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1)</t>
    </r>
    <r>
      <rPr>
        <sz val="13"/>
        <color theme="1"/>
        <rFont val="TH SarabunPSK"/>
        <family val="2"/>
      </rPr>
      <t xml:space="preserve"> </t>
    </r>
  </si>
  <si>
    <t>11/05/2561</t>
  </si>
  <si>
    <t>PR2-2561:4/33</t>
  </si>
  <si>
    <t>RV02050200361050147
RV02050200361050148</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</si>
  <si>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3 ร้อยละ 20 คิดเป็นเงิน 
200,000 บาท โดยหักค่าประกันผลงาน
ร้อยละ 5 ของเงินงวดเหลือเงินโอนเข้า
บัญชี 190,000 บาท</t>
  </si>
  <si>
    <t>25/05/2561</t>
  </si>
  <si>
    <t>PR2-2561:4/39</t>
  </si>
  <si>
    <t>RV02050200361050268
RV02050200361050269</t>
  </si>
  <si>
    <t>13/06/2561</t>
  </si>
  <si>
    <t>PR2-2561:4/46</t>
  </si>
  <si>
    <t>RV02050200361060134
RV02050200361060135</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</si>
  <si>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2)</t>
    </r>
    <r>
      <rPr>
        <sz val="13"/>
        <color theme="1"/>
        <rFont val="TH SarabunPSK"/>
        <family val="2"/>
      </rPr>
      <t xml:space="preserve"> </t>
    </r>
  </si>
  <si>
    <t>25/06/2561</t>
  </si>
  <si>
    <t>PL2-2561:1/22</t>
  </si>
  <si>
    <t>RV02050200361060287
RV02050200361060288</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</si>
  <si>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</si>
  <si>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03/07/2561</t>
  </si>
  <si>
    <t>PR2-2561:5/10</t>
  </si>
  <si>
    <t>RV02050200361070028
RV02050200361070029</t>
  </si>
  <si>
    <t>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งบประมาณทั้งสิ้น 
1,000,000 บาท แบ่งจ่ายทั้งหมด 5 งวด 
โดยงวดที่ 2 ร้อยละ 20 คิดเป็นเงิน 
200,000 บาท โดยหักค่าประกันผลงาน
ร้อยละ 5 ของเงินงวดเหลือเงินโอนเข้า
บัญชี 190,000 บาท</t>
  </si>
  <si>
    <t>03/08/2561</t>
  </si>
  <si>
    <t>PR2-2561:6/1</t>
  </si>
  <si>
    <t>RV02050200361080039
RV02050200361080040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</si>
  <si>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(งวดที่ 3)</t>
    </r>
    <r>
      <rPr>
        <sz val="13"/>
        <color theme="1"/>
        <rFont val="TH SarabunPSK"/>
        <family val="2"/>
      </rPr>
      <t xml:space="preserve"> </t>
    </r>
  </si>
  <si>
    <t>08/08/2561</t>
  </si>
  <si>
    <t>PR2-2561:6/4</t>
  </si>
  <si>
    <t>RV02050200361080107</t>
  </si>
  <si>
    <t>09/08/2561</t>
  </si>
  <si>
    <t>PL2-2561:15/44</t>
  </si>
  <si>
    <t>RV02050200361080116
RV02050200361080117</t>
  </si>
  <si>
    <t>PR2-2561:6/44</t>
  </si>
  <si>
    <t>RV02050200361090269
RV02050200361090270</t>
  </si>
  <si>
    <r>
      <t xml:space="preserve">ทุนอุดหนุนดำเนินการวิจัยแผนงานวิจัย
เรื่อง สำรวจระดับความพึงพอใจของผู้ใช้
บริการรถไฟแห่งประเทศไทย และสำรวจปัจจัยที่ส่งผลต่อความเชื่อมั่นของประชาชน
ในการเลือกใช้บริการของการรถไฟแห่ง
ประเทศไทย ประจำปีงบประมาณ 2560 
วงเงินราคากลาง 4,145,948.- บ. 
</t>
    </r>
    <r>
      <rPr>
        <b/>
        <sz val="13"/>
        <color theme="1"/>
        <rFont val="TH SarabunPSK"/>
        <family val="2"/>
      </rPr>
      <t>(เงินค่าประกันผลงาน)</t>
    </r>
    <r>
      <rPr>
        <sz val="13"/>
        <color theme="1"/>
        <rFont val="TH SarabunPSK"/>
        <family val="2"/>
      </rPr>
      <t xml:space="preserve"> </t>
    </r>
  </si>
  <si>
    <t>PL2-2561:16/9</t>
  </si>
  <si>
    <t>RV02050200361090327
RV02050200361090328</t>
  </si>
  <si>
    <t>องค์กรปกครองส่วนท้องถิ่น
จำนวน 3 หน่วยงาน</t>
  </si>
  <si>
    <t>PL2-2561:16/10</t>
  </si>
  <si>
    <t>RV02050200361090395
RV02050200361090396</t>
  </si>
  <si>
    <t>องค์กรปกครองส่วนท้องถิ่น
จำนวน 6 หน่วยงาน</t>
  </si>
  <si>
    <t>PL2-2561:16/12</t>
  </si>
  <si>
    <t>RV02050200361090450
RV02050200361090446</t>
  </si>
  <si>
    <t>สำนักงานมหาวิทยาลัย - วิทยาเขตพัทลุง</t>
  </si>
  <si>
    <t>17/10/2560</t>
  </si>
  <si>
    <t>PR2-2561:1/11</t>
  </si>
  <si>
    <t>RV02050200361100168
RV02050200361100169</t>
  </si>
  <si>
    <t>ผศ.ดร.สุภฎา คีรีรัฐนิคม</t>
  </si>
  <si>
    <t>DSM Singapore Industrial Pte.Ltd.</t>
  </si>
  <si>
    <t xml:space="preserve">ทุนอุดหนุนดำเนินการวิจัยเรื่อง Enzyme Solution for Hybrid Catfish : effects of different enzyme solutions on apparent feed digetibility in hybird catfish. (Ciarias macrocephalus X Clarias gariepinus) </t>
  </si>
  <si>
    <t>19/01/2561</t>
  </si>
  <si>
    <t>PL2-2561:2/19</t>
  </si>
  <si>
    <t>RV02050200361010235
RV02050200361010236</t>
  </si>
  <si>
    <t>BASF New Business 
GmbH</t>
  </si>
  <si>
    <r>
      <t xml:space="preserve">ทุนอุดหนุนดำเนินการวิจัยแผนงานวิจัย
เรื่อง Trial to Study Effect of Iron 
Glycinate and Zinc Glycinate on 
Tilapia Performance จาก BASF New 
Business GmbH  งบประมาณทั้งสิ้น 
320,000.00 บาท 
</t>
    </r>
    <r>
      <rPr>
        <b/>
        <sz val="13"/>
        <color theme="1"/>
        <rFont val="TH SarabunPSK"/>
        <family val="2"/>
      </rPr>
      <t>(งวดที่ 1 = 288,000.00 บาท)</t>
    </r>
  </si>
  <si>
    <t>PR2-2561:3/21</t>
  </si>
  <si>
    <t>RV02050200361030155
RV02050200361030156</t>
  </si>
  <si>
    <t>อาจารย์ ดร.พีรนาฎ คิดดี</t>
  </si>
  <si>
    <t>สำนักงานพัฒนา
วิทยาศาสตร์
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</si>
  <si>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ค่าความร้อนของวัสดุผสมเพื่อเป็นเชื้อเพลิง
จากขยะกับชีวมวลจากปาล์มและชีวมวล
จากมะพร้าว งวดที่ 1
</t>
    </r>
    <r>
      <rPr>
        <b/>
        <sz val="13"/>
        <color theme="1"/>
        <rFont val="TH SarabunPSK"/>
        <family val="2"/>
      </rPr>
      <t>(ซึ่งตามสัญญาระบุเงินสนับสนุน
หน่วยงานเป็นจำนวนเงิน 30,000 บาท)</t>
    </r>
  </si>
  <si>
    <t>01/05/2561</t>
  </si>
  <si>
    <t>PR2-2561:4/17</t>
  </si>
  <si>
    <t>RV02050200361050004
RV02050200361050005</t>
  </si>
  <si>
    <t>อาจารย์ ดร.อรสา อนันต์</t>
  </si>
  <si>
    <t>สำนักงานพัฒนาวิทยาศาตร์และเทคโนโลยีแห่งชาติ</t>
  </si>
  <si>
    <t>สัญญาให้ทุนอุดหนุนโครงการวิจัย 
พัฒนาและวิศวกรรม สัญญาเลขที่ FDA-CO-2561-5829-TH เรื่องการพัฒนา
ตัวประมาณขนาดประชากรสำหรับข้อมูล
แบบ Capture-recapture ที่มีลักษณะ
เป็นวิวิธพันธ์ด้วยการแจกแจงแบบปัวซง
ผสม งบประมาณทั้งโครงการ 250,000 บ.(โดยแบ่งจ่ายงวดที่1 เป็นเงิน 169,490 บ. แบ่งเป็นงบบริหารโครงการ 30,000 บาท 
เป็นทุนวิจัย 139,490 บาท)</t>
  </si>
  <si>
    <t>PR2-2561:4/19</t>
  </si>
  <si>
    <t>RV02050200361050006
RV02050200361050007</t>
  </si>
  <si>
    <t>อาจารย์ ดร.สุนิสา คงประสิทธิ์</t>
  </si>
  <si>
    <t>สัญญาให้ทุนอุดหนุนโครงการวิจัย 
พัฒนาและวิศวกรรม สัญญาเลขที่ FDA-CO-2561-5831-TH เรื่องการพัฒนา
ชุดการเรียนรู้เรื่องการจัดการมูลฝอยใน
โรงเรียนด้วยกระบวนการสิ่งแวดล้อมศึกษา 
สำหรับนักเรียนชั้นประถมศึกษาปีที่ 5-6 
โรงเรียนในเขตเทศบาล ต.ลานข่อย 
งบประมาณทั้งโครงการ 250,000 บาท 
(โดยแบ่งจ่ายงวดที่1 เป็นเงิน 171,160 บ. แบ่งเป็นงบบริหารโครงการ 30,000 บาท 
เป็นทุนวิจัย 141,160 บาท)</t>
  </si>
  <si>
    <t>RV02050200361050008
RV02050200361050009</t>
  </si>
  <si>
    <t>อาจารย์ ดร.จักรพงศ์ ไชยบุรี</t>
  </si>
  <si>
    <t>สัญญาให้ทุนอุดหนุนโครงการวิจัย 
พัฒนาและวิศวกรรม สัญญาเลขที่ FDA-CO-2561-5830-TH เรื่องการพัฒนา
ตัวเร่งปฏิกิริยาเพื่อเซลเชื้อเพลิงเอทานอล
โดยไม่ใช้เยื่อเลือกผ่าน 
งบประมาณทั้งโครงการ 250,000 บาท 
(โดยแบ่งจ่ายงวดที่1 เป็นเงิน 190,000 บ. แบ่งเป็นงบบริหารโครงการ 30,000 บาท 
เป็นทุนวิจัย 160,000 บาท)</t>
  </si>
  <si>
    <t>02/07/2561</t>
  </si>
  <si>
    <t>PR2-2561:5/8</t>
  </si>
  <si>
    <t>RV02050200361070017
RV02050200361070018</t>
  </si>
  <si>
    <t>ทุนอุดหนุนดำเนินการวิจัยเรื่อง Enzyme Solution for Hybrid Catfish : effects of different enzyme solutions on apparent feed digetibility in hybird catfish. (Ciarias macrocephalus X Clarias gariepinus) งวดที่ 2</t>
  </si>
  <si>
    <t>PR2-2561:5/9</t>
  </si>
  <si>
    <t>RV02050200361070019
RV02050200361070020</t>
  </si>
  <si>
    <t>DSM Singapore Industrial 
Pte.Ltd.</t>
  </si>
  <si>
    <t>ทุนอุดหนุนดำเนินการวิจัยเรื่อง Effects 
of enzyme solution on apparent 
digestibility coefficient of feed ingredients in hybrid catfish. 
(Ciarias macrocephalus X Clarias 
gariepinus)  งวดที่ 1</t>
  </si>
  <si>
    <t>05/07/2561</t>
  </si>
  <si>
    <t>PR2-2561:5/15</t>
  </si>
  <si>
    <t>RV02050200361070046
RV02050200361070047</t>
  </si>
  <si>
    <r>
      <t xml:space="preserve">ทุนอุดหนุนดำเนินการวิจัยแผนงานวิจัย
เรื่อง Trial to Study Effect of Iron 
Glycinate and Zinc Glycinate on 
Tilapia Performance งบประมาณทั้งสิ้น
320,000 บาท </t>
    </r>
    <r>
      <rPr>
        <b/>
        <sz val="13"/>
        <color theme="1"/>
        <rFont val="TH SarabunPSK"/>
        <family val="2"/>
      </rPr>
      <t>(งวดที่ 2 = 32,000.00 บ. 
และงวดพิเศษ = 45,000.00 บ.)</t>
    </r>
  </si>
  <si>
    <t>18/07/2561</t>
  </si>
  <si>
    <t>PR2-2561:5/26</t>
  </si>
  <si>
    <t>RV02050200361070232
RV02050200361070233</t>
  </si>
  <si>
    <t>อาจารย์ ดร.สุวิมล จุงจิตร์</t>
  </si>
  <si>
    <t>สำนักงานพัฒนาวิทยาศาตร์
และเทคโนโลยีแห่งชาติ</t>
  </si>
  <si>
    <t xml:space="preserve">สัญญาให้ทุนอุดหนุนโครงการวิจัย 
พัฒนาและวิศวกรรม สัญญาเลขที่ FDA-CO-2561-6445-TH เรื่องการขยาย
ขีดความสามารถของขั้นตอนวิธีเชิง
พันธุกรรมแบบหลายวัตถุประสงค์ด้วย
วิธีพจนานุกรมสำหรับวิธีการคัดเลือก
คุณสมบัติตามความสัมพันธ์แบบหลาย
หมวดหมู่ งบประมาณ 250,000 บาท </t>
  </si>
  <si>
    <t>PR2-2561:5/25</t>
  </si>
  <si>
    <t>RV02050200361070234
RV02050200361070235</t>
  </si>
  <si>
    <t>อาจารย์ ดร.คณิดา สินใหม</t>
  </si>
  <si>
    <t>สัญญาให้ทุนอุดหนุนโครงการวิจัย 
พัฒนาและวิศวกรรม สัญญาเลขที่ FDA-CO-2561-6444-TH 
เรื่อง การสนับสนุนการทำงานร่วมกัน
เชิงสร้างสรรค์ในสภาพแวดล้อมหลาย
จอภาพ งบประมาณ 250,000 บาท</t>
  </si>
  <si>
    <t>23/08/2561</t>
  </si>
  <si>
    <t>PR2-2561:6/13</t>
  </si>
  <si>
    <t>RV02050200361080314</t>
  </si>
  <si>
    <t>สำนักงานพัฒนาเศรษฐกิจ
จากฐานชีวภาพ
(องค์การมหาชน)</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</si>
  <si>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งวดที่ 3 (ครั้งที่ 2)</t>
  </si>
  <si>
    <t>PR2-2561:6/16</t>
  </si>
  <si>
    <t>RV02050200361080323
RV02050200361080324</t>
  </si>
  <si>
    <t>อาจารย์ ดร.นันทิดา สุธรรมวงศ์</t>
  </si>
  <si>
    <t>สำนักงานกองทุนสนับสนุน
การวิจัย (สกว.)</t>
  </si>
  <si>
    <r>
      <t xml:space="preserve">เงินบำรุงสถาบัน (งวดพิเศษ ก) ตาม
สัญญเลขที่ RDG5230028 เรื่องการพัฒนา
ระบบสารสนเทศเพื่อการบริหารจัดการ
ทรัพยากรน้ำเชิงพื้นที่ของจังหวัดพัทลุง 
</t>
    </r>
    <r>
      <rPr>
        <b/>
        <sz val="13"/>
        <color theme="1"/>
        <rFont val="TH SarabunPSK"/>
        <family val="2"/>
      </rPr>
      <t>(โดยแบ่งเป็นส่วนของมหาวิทยาลัยทักษิณ 
จำนวน 51,933.75 บ. (ร้อยละ25) 
ส่วนของคณะวิทยาศาสตร์จำนวนเงิน 
51,933.75 บ. (ร้อยละ25) 
และส่วนของสาขาวิชาวิทยาศาสตร์ชีวภาพและสิ่งแวดล้อมจำนวนเงิน 103,867.50 บ. (ร้อยละ50))</t>
    </r>
  </si>
  <si>
    <t>PR2-2561:6/35</t>
  </si>
  <si>
    <t>RV02050200361090062
RV02050200361090063</t>
  </si>
  <si>
    <t>อาจารย์ ดร.จารุรัตน์ ปัญโญ</t>
  </si>
  <si>
    <t>คณะวิทยาการสุขภาพ
และการกีฬา</t>
  </si>
  <si>
    <t>สำนักงานพัฒนาวิทยาศาสตร์
และเทคโนโลยีแห่งชาติ 
(สวทช.)</t>
  </si>
  <si>
    <t>เงินสนับสนุนโครงการวิจัย เรื่อง ฤทธิ์ต้านมะเร็งและต้านการอักเสบของสารสกัดจากแซะ (Callerya atropurpurea) งวดที่ 1</t>
  </si>
  <si>
    <t>หน่วยงานลักษณะพิเศษ - สำนักบ่มเพาะวิชาการเพื่อวิสาหกิจในชุมชน</t>
  </si>
  <si>
    <t>รวมยอดเงินรับรายได้ประเภททุนสนับสนุนเพื่อการวิจัยระหว่างเดือนตุลาคม 2560 - กันยายน 2561 เป็นเงินทั้งสิ้น</t>
  </si>
  <si>
    <t>ผู้จัดทำ .........................................................</t>
  </si>
  <si>
    <t xml:space="preserve">       ผู้ตรวจสอบ....................................................</t>
  </si>
  <si>
    <t>ผู้อนุมัติ..................................................</t>
  </si>
  <si>
    <t>(นางสาวมานิกา ทองฤกษ์)</t>
  </si>
  <si>
    <t>(นางจันทิมา  คงคาลัย)</t>
  </si>
  <si>
    <t>หัวหน้ากลุ่มภารกิจด้านบัญชี</t>
  </si>
  <si>
    <t>หัวหน้ากลุ่มภารกิจด้านการเงิน</t>
  </si>
  <si>
    <t>หัวหน้าฝ่ายการคลังและทรัพย์สิน</t>
  </si>
  <si>
    <t>สำหรับปีงบประมาณ 2562  ระยะเวลาดำเนินการ 1  ตุลาคม 2561  สิ้นสุด 30 กันยายน 2562</t>
  </si>
  <si>
    <t>วิทยาลัยการจัดการเพื่อการพัฒนา</t>
  </si>
  <si>
    <t>PR2-2562:1/16</t>
  </si>
  <si>
    <t>RV02050200362100164</t>
  </si>
  <si>
    <t>ผศ.ดร.อภิวัฒน์ สมาธิ</t>
  </si>
  <si>
    <t>ห้างหุ้นส่วนจำกัด โรจนกิจ เทรดดิ้ง</t>
  </si>
  <si>
    <t>ค่าธรรมเนียมร้อยละ 10 จากการวิจัยเรื่อง 
แนวทางการดำเนินการกำจัดขยะมูลฝอย
อย่างมีประสิทธิภาพกรณีศึกษาเทศบาล
นครเชียงราย วงเงินทั้งสิ้น 200,000 บาท</t>
  </si>
  <si>
    <t>01/11/2561</t>
  </si>
  <si>
    <t>PR2-2562:1/32</t>
  </si>
  <si>
    <t>RV02050200362110010</t>
  </si>
  <si>
    <t>บริษัท ซุปเปอร์สกาย
เอนเนอร์ยี จำกัด</t>
  </si>
  <si>
    <r>
      <t xml:space="preserve">สัญญาเลขที่ TSU 03/เอกชน ทุนอุดหนุน
การวิจัย เรื่อง แนวทางการดำเนินธุรกิจ
การแปรรูปพลังงานขยะชุมชนโดยใช้เทคโนโลยีแก๊สซิฟิเคชั่น งวดที่ 1 
</t>
    </r>
    <r>
      <rPr>
        <b/>
        <sz val="13"/>
        <color theme="1"/>
        <rFont val="TH SarabunPSK"/>
        <family val="2"/>
      </rPr>
      <t>(วงเงินทั้งสิ้น 500,000.00 บาท)</t>
    </r>
  </si>
  <si>
    <t>12/09/2562</t>
  </si>
  <si>
    <t>PR2-2562:7/48</t>
  </si>
  <si>
    <t>RV02050200362090262</t>
  </si>
  <si>
    <t>วิสาหกิจชุมชนสมุนไพรไทย
ท่าชุมพล</t>
  </si>
  <si>
    <r>
      <t xml:space="preserve">ค่าธรรมเนียมร้อยละ 10 จากการวิจัยเรื่อง 
การดำเนินงานของวิสาหกิจชุมชนสมุนไพร
ไทยท่าชุมพลต่อแนวทางการปลูกพืชกัญชา
เพื่อประโยชน์ทางการแพทย์แผนไทยและ
การวิจัยภายใต้เงื่อนไขกฎหมายเพื่อ
การพัฒนา งบประมาณทั้งสิ้น 500,000 บ. 
</t>
    </r>
    <r>
      <rPr>
        <b/>
        <u/>
        <sz val="13"/>
        <color theme="1"/>
        <rFont val="TH SarabunPSK"/>
        <family val="2"/>
      </rPr>
      <t xml:space="preserve">งวดที่ 1 แบ่งจ่าย 250,000 บาท </t>
    </r>
  </si>
  <si>
    <t>PL2-2562:1/2</t>
  </si>
  <si>
    <t>RV02050200362100134</t>
  </si>
  <si>
    <t>องค์กรปกครองส่วนท้องถิ่น
จำนวน 19 หน่วยงาน</t>
  </si>
  <si>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</si>
  <si>
    <t>PL2-2562:1/1</t>
  </si>
  <si>
    <t>RV02050200362100136</t>
  </si>
  <si>
    <t>องค์กรปกครองส่วนท้องถิ่น
จำนวน 27 หน่วยงาน</t>
  </si>
  <si>
    <t>PL2-2562:1/3</t>
  </si>
  <si>
    <t>RV02050200362100205</t>
  </si>
  <si>
    <t>องค์กรปกครองส่วนท้องถิ่น
จำนวน 21 หน่วยงาน</t>
  </si>
  <si>
    <t>PL2-2562:1/5</t>
  </si>
  <si>
    <t>RV02050200362100324</t>
  </si>
  <si>
    <t>องค์กรปกครองส่วนท้องถิ่น
จำนวน 22 หน่วยงาน</t>
  </si>
  <si>
    <t>05/11/2561</t>
  </si>
  <si>
    <t>PL2-2562:1/6</t>
  </si>
  <si>
    <t>RV02050200362110039</t>
  </si>
  <si>
    <t>องค์กรปกครองส่วนท้องถิ่น
จำนวน 14 หน่วยงาน</t>
  </si>
  <si>
    <t>15/11/2561</t>
  </si>
  <si>
    <t>PR2-2562:1/45</t>
  </si>
  <si>
    <t>RV02050200362110192</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</si>
  <si>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งวดที่ 5 
</t>
    </r>
    <r>
      <rPr>
        <b/>
        <sz val="13"/>
        <color theme="1"/>
        <rFont val="TH SarabunPSK"/>
        <family val="2"/>
      </rPr>
      <t>(งบประมาณทั้งสิ้น 1,000,000 บาท)</t>
    </r>
  </si>
  <si>
    <t>16/11/2561</t>
  </si>
  <si>
    <t>PL2-2562:1/8</t>
  </si>
  <si>
    <t>RV02050200362110210</t>
  </si>
  <si>
    <t>องค์กรปกครองส่วนท้องถิ่น
จำนวน 28 หน่วยงาน</t>
  </si>
  <si>
    <t>PL2-2562:1/9</t>
  </si>
  <si>
    <t>RV02050200362110211</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</si>
  <si>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(เงินประกันผลงาน)</t>
  </si>
  <si>
    <t>RV02050200362110212</t>
  </si>
  <si>
    <t xml:space="preserve">ทุนอุดหนุนดำเนินการวิจัยแผนงานวิจัย
เรื่อง 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พ.ศ.2561 </t>
  </si>
  <si>
    <t>30/11/2561</t>
  </si>
  <si>
    <t>PL2-2562:1/10</t>
  </si>
  <si>
    <t>RV02050200362110331</t>
  </si>
  <si>
    <t>องค์กรปกครองส่วนท้องถิ่น
จำนวน 16 หน่วยงาน</t>
  </si>
  <si>
    <t>17/12/2561</t>
  </si>
  <si>
    <t>PL2-2562:1/11</t>
  </si>
  <si>
    <t>RV02050200362120118</t>
  </si>
  <si>
    <t>18/12/2561</t>
  </si>
  <si>
    <t>PL2-2562:1/12</t>
  </si>
  <si>
    <t>RV02050200362120122</t>
  </si>
  <si>
    <t>24/12/2561</t>
  </si>
  <si>
    <t>PL2-2562:1/14</t>
  </si>
  <si>
    <t>RV02050200362120192</t>
  </si>
  <si>
    <t>25/12/2561</t>
  </si>
  <si>
    <t>PR2-2562:2/42</t>
  </si>
  <si>
    <t>RV02050200362120215</t>
  </si>
  <si>
    <t>22/02/2562</t>
  </si>
  <si>
    <t>PR2-2562:3/50</t>
  </si>
  <si>
    <t>RV02050200362020263</t>
  </si>
  <si>
    <r>
      <t xml:space="preserve">สัญญาจ้างที่ปรึกษาเลขที่ 134/2560 ของ
สำนักงานปลัดกระทรวงยุติธรรม ว่าจ้างให้
เป็นที่ปรึกษาโครงการปฏิบัติการการจัดการ
ศึกษาเพื่อสร้างทักษะชีวิตสำหรับเด็กและ
เยาวชนในสถานพินิจและคุ้มครองเด็กและ
เยาวชน ศูนย์ฝึกอบรมเด็กและเยาวชนใน
จังหวัดชายแดนภาคใต้ เงินประกันผลงาน
</t>
    </r>
    <r>
      <rPr>
        <b/>
        <sz val="13"/>
        <color theme="1"/>
        <rFont val="TH SarabunPSK"/>
        <family val="2"/>
      </rPr>
      <t>(งบประมาณทั้งสิ้น 1,000,000 บาท)</t>
    </r>
  </si>
  <si>
    <t>13/03/2562</t>
  </si>
  <si>
    <t>PR2-2562:4/19</t>
  </si>
  <si>
    <t>RV02050200362030160</t>
  </si>
  <si>
    <t>อาจารย์ ดร.วิชชาญ จุลหริก</t>
  </si>
  <si>
    <t>บริษัทดนตรีและศิลปะ
ซิมโฟนี</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</si>
  <si>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1</t>
  </si>
  <si>
    <t>19/03/2562</t>
  </si>
  <si>
    <t>PL2-2562:1/19</t>
  </si>
  <si>
    <t>RV02050200362030221</t>
  </si>
  <si>
    <t>องค์การบริหารส่วนตำบล
ควนรู</t>
  </si>
  <si>
    <t>22/03/2562</t>
  </si>
  <si>
    <t>PR2-2562:4/30</t>
  </si>
  <si>
    <t>RV02050200362030282</t>
  </si>
  <si>
    <t>รองศาสตราจารย์กรกฎ ทองขะโชค</t>
  </si>
  <si>
    <t>โรงเรียนนายร้อยตำรวจ</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</si>
  <si>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1
วงเงินตามสัญญา 1,100,000 บาท 
</t>
  </si>
  <si>
    <t>22/04/2562</t>
  </si>
  <si>
    <t>PR2-2562:4/49</t>
  </si>
  <si>
    <t>RV02050200362040184</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</si>
  <si>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</si>
  <si>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การสร้าง
ชุมชนแห่งการเรียนรู้ครูประถมศึกษา 
เพื่อการพัฒนาทักษะการจัดการเรียนรู้
ภาษาไทย เพื่อการอ่านออกเขียนได้และ
การอ่านเชิงวิเคราะห์ โดยใช้บทอ่านหนังสือ
ของพ่อฯ - ภายใต้โครงการพัฒนาคุณภาพ
การศึกษาและการพัฒนาท้องถิ่นโดยมี
สถาบันอุดมศึกาเป็นพี่เลี้ยงประจำปี 2562 
</t>
    </r>
    <r>
      <rPr>
        <b/>
        <sz val="13"/>
        <color theme="1"/>
        <rFont val="TH SarabunPSK"/>
        <family val="2"/>
      </rPr>
      <t>งบประมาณทั้งสิ้น 570,000.00 บาท</t>
    </r>
  </si>
  <si>
    <t>01/05/2562</t>
  </si>
  <si>
    <t>PR2-2562:5/9</t>
  </si>
  <si>
    <t>RV02050200362050002</t>
  </si>
  <si>
    <t>อาจารย์ ดร.ศิรดา นวลประดิษฐ์</t>
  </si>
  <si>
    <t>สำนักงานกองทุน
สนับสนุนการวิจัย (สกว)</t>
  </si>
  <si>
    <t xml:space="preserve">เงินงวดพิเศษ ก . ตามสัญญาเลขที่ 
RDG5940004-SO6 เรื่อง การพัฒนา
ศักยภาพการคิดต้นทุนผลิตภัณฑ์และ
การใช้เทคนิคบัญชีบริหารของวิสาหกิจ
ชุมชนผู้ผลิตและแปรรูปข้าวสังข์หยดพัทลุง 
บ้านเขากลาง อำเภอควนขนุน 
จังหวัดพัทลุง </t>
  </si>
  <si>
    <t>02/05/2562</t>
  </si>
  <si>
    <t>PR2-2562:5/14</t>
  </si>
  <si>
    <t>RV02050200362050025</t>
  </si>
  <si>
    <t>อาจารย์ เจษฎา ทองขาว</t>
  </si>
  <si>
    <t>มูลนิธิอันเฟรล (ANFREIL)</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</si>
  <si>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1 
</t>
    </r>
    <r>
      <rPr>
        <b/>
        <sz val="13"/>
        <color theme="1"/>
        <rFont val="TH SarabunPSK"/>
        <family val="2"/>
      </rPr>
      <t>งบประมาณทั้งสิ้น 2,700 USD</t>
    </r>
    <r>
      <rPr>
        <sz val="13"/>
        <color theme="1"/>
        <rFont val="TH SarabunPSK"/>
        <family val="2"/>
      </rPr>
      <t xml:space="preserve"> </t>
    </r>
  </si>
  <si>
    <t>21/05/2562</t>
  </si>
  <si>
    <t>PR2-2562:5/27</t>
  </si>
  <si>
    <t>RV02050200362050231</t>
  </si>
  <si>
    <t>ผศ.ดร.สุทธิพร บุญมาก</t>
  </si>
  <si>
    <r>
      <t xml:space="preserve">เงินงวดพิเศษ ก . ตามสัญญาเลขที่ 
RDG6010040 เรื่อง นโยบายการย้ายถิ่น
ข้าวของแรงงานชาวต่างชาติระดับทักษะ
ของประเทศสมาชิกอาเซียน : กรณีศึกษา
ประเทศสิงคโปร์และบรูไน 
</t>
    </r>
    <r>
      <rPr>
        <b/>
        <sz val="13"/>
        <color theme="1"/>
        <rFont val="TH SarabunPSK"/>
        <family val="2"/>
      </rPr>
      <t>(ส่วนของมหาวิทยาลัย ร้อยละ 25)</t>
    </r>
  </si>
  <si>
    <t>23/05/2562</t>
  </si>
  <si>
    <t>PR2-2562:5/31</t>
  </si>
  <si>
    <t>RV02050200362050243</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</si>
  <si>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2</t>
  </si>
  <si>
    <t>PR2-2562:5/34</t>
  </si>
  <si>
    <t>RV02050200362050245</t>
  </si>
  <si>
    <t>สถาบันพระปกเกล้า</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</si>
  <si>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1</t>
  </si>
  <si>
    <t>28/05/2562</t>
  </si>
  <si>
    <t>PR2-2562:5/35</t>
  </si>
  <si>
    <t>RV02050200362050304</t>
  </si>
  <si>
    <r>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2
</t>
    </r>
    <r>
      <rPr>
        <b/>
        <sz val="13"/>
        <color theme="1"/>
        <rFont val="TH SarabunPSK"/>
        <family val="2"/>
      </rPr>
      <t xml:space="preserve">วงเงินตามสัญญา 1,100,000 บาท </t>
    </r>
    <r>
      <rPr>
        <sz val="13"/>
        <color theme="1"/>
        <rFont val="TH SarabunPSK"/>
        <family val="2"/>
      </rPr>
      <t xml:space="preserve">
</t>
    </r>
  </si>
  <si>
    <t>PR2-2562:5/44</t>
  </si>
  <si>
    <t>RV02050200362060002</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</si>
  <si>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2 
</t>
    </r>
    <r>
      <rPr>
        <b/>
        <sz val="13"/>
        <color theme="1"/>
        <rFont val="TH SarabunPSK"/>
        <family val="2"/>
      </rPr>
      <t>งบประมาณทั้งสิ้น 2,700 USD</t>
    </r>
    <r>
      <rPr>
        <sz val="13"/>
        <color theme="1"/>
        <rFont val="TH SarabunPSK"/>
        <family val="2"/>
      </rPr>
      <t xml:space="preserve"> </t>
    </r>
  </si>
  <si>
    <t>PR2-2562:2/26</t>
  </si>
  <si>
    <t>JV02050200362060011</t>
  </si>
  <si>
    <t>ผศ.ดร.ปาริฉัตร ตู้ดำ</t>
  </si>
  <si>
    <t xml:space="preserve">เงินงวดพิเศษ ก . ตามสัญญาเลขที่ 
RDG5910030 เรื่อง สถานการณ์และ
การปรับตัวของผู้ประกอบการธุรกิจที่พัก
ในพื้นที่สามจังหวัดชายแดนภาคใต้ 
ประจำปีงบประมาณ 2559 </t>
  </si>
  <si>
    <t>PR2-2562:3/41</t>
  </si>
  <si>
    <t>JV02050200362060024</t>
  </si>
  <si>
    <t>ผศ.อภิเชษฐ กาญจนดิฐ</t>
  </si>
  <si>
    <r>
      <t xml:space="preserve">เงินงวดพิเศษ ก . ตามสัญญาเลขที่
RDG5910022 เรื่อง การดำเนินงานของ
รัฐบาลมาเลเซียในการต่อต้านการก่อ
การร้าย (คศ.2003-2015)  
</t>
    </r>
    <r>
      <rPr>
        <b/>
        <sz val="13"/>
        <color theme="1"/>
        <rFont val="TH SarabunPSK"/>
        <family val="2"/>
      </rPr>
      <t>(เฉพาะส่วนของมหาวิทยาลัยร้อยละ 25)</t>
    </r>
  </si>
  <si>
    <t>PR2-2562:3/22</t>
  </si>
  <si>
    <t>JV02050200362060026</t>
  </si>
  <si>
    <t>อาจารย์ สมพงค์ พรมสะอาด</t>
  </si>
  <si>
    <t xml:space="preserve">เงินงวดพิเศษ ก . ตามสัญญาเลขที่ 
SRI5910106 เรื่องแนวทางการพัฒนา
ระบบนิเวศน์ที่เอื้อต่อการเกิดขึ้นของธุรกิจ
เทคโนโลยีจัดตั้งใหม่:ศึกษาเปรียบเทียบ
ประเทศสิงคโปร์ มาเลเซีย และประเทศไทย </t>
  </si>
  <si>
    <t>03/07/2562</t>
  </si>
  <si>
    <t>PR2-2562:6/22</t>
  </si>
  <si>
    <t>RV02050200362070026</t>
  </si>
  <si>
    <r>
      <t xml:space="preserve">ทุนอุดหนุนการวิจัย เรื่อง มาตรการทาง
กฎหมายเกี่ยวกับการเลือกตั้งของคนพิการ 
ตามพระราชบัญญัติประกอบรัฐธรรมนูญ
ว่าด้วยการเลือกตั้งสมาชิกสภาผู้แทนราษฎร 
พ.ศ.2561 งวดที่ 3 
</t>
    </r>
    <r>
      <rPr>
        <b/>
        <sz val="13"/>
        <color theme="1"/>
        <rFont val="TH SarabunPSK"/>
        <family val="2"/>
      </rPr>
      <t>งบประมาณทั้งสิ้น 2,700 USD</t>
    </r>
    <r>
      <rPr>
        <sz val="13"/>
        <color theme="1"/>
        <rFont val="TH SarabunPSK"/>
        <family val="2"/>
      </rPr>
      <t xml:space="preserve"> </t>
    </r>
  </si>
  <si>
    <t>16/08/2562</t>
  </si>
  <si>
    <t>PR2-2562:7/19</t>
  </si>
  <si>
    <t>RV02050200362080217</t>
  </si>
  <si>
    <t>เครือข่ายอุดมศึกษา
ภาคใต้ตอนล่าง 
(ม.สงขลานครินทร์)</t>
  </si>
  <si>
    <r>
      <t xml:space="preserve">ทุนอุดหนุนดำเนินการวิจัยจากเครือข่าย
อุดมศึกาภาคใต้ตอนล่าง เรื่อง พัฒนา
คุณภาพการเรียนรู้ ภาษาไทยเชิงรุก 
โดยใช้กระบวนการชุมชนวิชาชีพครู 
(Professional Learning Community) 
และการสอนงานและเป็นพี่เลี้ยง 
(Coaching and Mentoring) 
</t>
    </r>
    <r>
      <rPr>
        <b/>
        <sz val="13"/>
        <color theme="1"/>
        <rFont val="TH SarabunPSK"/>
        <family val="2"/>
      </rPr>
      <t>งบประมาณทั้งสิ้น 75,000 บาท</t>
    </r>
    <r>
      <rPr>
        <sz val="13"/>
        <color theme="1"/>
        <rFont val="TH SarabunPSK"/>
        <family val="2"/>
      </rPr>
      <t xml:space="preserve"> </t>
    </r>
  </si>
  <si>
    <t>30/08/2562</t>
  </si>
  <si>
    <t>PL2-2562:1/27</t>
  </si>
  <si>
    <t>RV02050200362080359</t>
  </si>
  <si>
    <t>PL2-2562:1/29</t>
  </si>
  <si>
    <t>RV02050200362090261</t>
  </si>
  <si>
    <t>19/09/2562</t>
  </si>
  <si>
    <t>PL2-2562:1/30</t>
  </si>
  <si>
    <t>RV02050200362090381</t>
  </si>
  <si>
    <t>23/09/2562</t>
  </si>
  <si>
    <t>PL2-2562:1/31</t>
  </si>
  <si>
    <t>RV02050200362090454</t>
  </si>
  <si>
    <t>25/09/2562</t>
  </si>
  <si>
    <t>PL2-2562:1/32</t>
  </si>
  <si>
    <t>RV02050200362090470</t>
  </si>
  <si>
    <t>องค์กรปกครองส่วนท้องถิ่น
จำนวน 18 หน่วยงาน</t>
  </si>
  <si>
    <t>PR2-2562:1/31</t>
  </si>
  <si>
    <t>RV02050200362110009</t>
  </si>
  <si>
    <t>ทุนอุดหนุนการวิจัยส่งเสริมและสนับสนุน
การวิจัยที่มุ่งเป้าด้านพลาสติกชีวภาพ 
เรื่อง การสังเคราะห์และสมบัติของ
พอลิบิวธิลีนซัคซิเนต (PBS) ตามสัญญา
เลขที่ สพภ.-วช.31/2559 ประจำปี
งบประมาณ 2559 (เงินประกันผลงาน)</t>
  </si>
  <si>
    <t>PR2-2562:2/5</t>
  </si>
  <si>
    <t>RV02050200362110328</t>
  </si>
  <si>
    <t>อาจารย์ ดร.วันลภ ดิษสุวรรณ์</t>
  </si>
  <si>
    <t>สำนักงานคณะกรรมการ
การวิจัยแห่งชาติ (วช.)</t>
  </si>
  <si>
    <r>
      <t xml:space="preserve">ค่าธรรมเนียมร้อยละ 10 จากการวิจัยเรื่อง 
การจัดการทรัพยากรทางทะเลและชายฝั่ง
ในชุมชนแบบมีส่วนร่วมเพื่อพัฒนาและฟื้นฟู
ธนาคารปูม้าอย่างยั่งยืน จังหวัดสตูล งวดที่ 1
</t>
    </r>
    <r>
      <rPr>
        <b/>
        <sz val="13"/>
        <color theme="1"/>
        <rFont val="TH SarabunPSK"/>
        <family val="2"/>
      </rPr>
      <t xml:space="preserve">(งบประมาณทั้งสิ้น 2,100,000 บาท) </t>
    </r>
  </si>
  <si>
    <t>PR2-2562:2/4</t>
  </si>
  <si>
    <t>RV02050200362110329</t>
  </si>
  <si>
    <r>
      <t xml:space="preserve">ทุนอุดหนุนดำเนินการวิจัยแผนงานวิจัย
เรื่อง Trial to Study Effect of Phytase 
supplementation on growth and 
feed utilization in Nile Tilapia </t>
    </r>
    <r>
      <rPr>
        <b/>
        <sz val="13"/>
        <color theme="1"/>
        <rFont val="TH SarabunPSK"/>
        <family val="2"/>
      </rPr>
      <t>(งบประมาณทั้งสิ้น 396,000.00 บาท)</t>
    </r>
  </si>
  <si>
    <t>PR2-2562:2/6</t>
  </si>
  <si>
    <t>RV02050200362110330</t>
  </si>
  <si>
    <t>สำนักงานพัฒนาเศรษฐกิจจากฐานชีวภาพ 
(องค์การมหาชน)</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</si>
  <si>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3 
</t>
    </r>
    <r>
      <rPr>
        <b/>
        <sz val="13"/>
        <color theme="1"/>
        <rFont val="TH SarabunPSK"/>
        <family val="2"/>
      </rPr>
      <t xml:space="preserve">(งบประมาณทั้งสิ้น 470,000.00 บาท) </t>
    </r>
  </si>
  <si>
    <t>07/12/2561</t>
  </si>
  <si>
    <t>PR2-2562:2/17</t>
  </si>
  <si>
    <t>RV02050200362120045</t>
  </si>
  <si>
    <t>อาจารย์วิกาญดา ทองเนื้อแข็ง</t>
  </si>
  <si>
    <t>สำนักงานพัฒนาเศรษฐกิจ
จากฐานชีพวภาพ 
(องค์การมหาชน)</t>
  </si>
  <si>
    <r>
      <t>สัญญาเลขที่ สพภ.-วช.18/2561 สัญญารับ
ทุนอุดหนุนส่งเสริมและสนับสนุนการวิจัย
ด้านสิ่งแวดล้อมความหลากหลายทาง
ชีวภาพ และระบบนิเวศ เรื่อง การกำจัด
ซัลไฟด์และผลิตกรดซัลฟริคจากซัลไฟด์ใน
ระบบผลิตก๊าซชีวภาพจากน้ำเสียแปรรูป
ยางพาราเพื่อเพิ่มศักยภาพในการผลิต
มีแทนและนำกรดซัลฟูริคกลับมาใช้ใหม่ใน
กระบวนการผลิต งวดที่ 1</t>
    </r>
    <r>
      <rPr>
        <b/>
        <sz val="13"/>
        <color theme="1"/>
        <rFont val="TH SarabunPSK"/>
        <family val="2"/>
      </rPr>
      <t xml:space="preserve"> 
(วงเงินตามสัญญา 500,000 บ.) </t>
    </r>
  </si>
  <si>
    <t>05/02/2562</t>
  </si>
  <si>
    <t>PR2-2562:3/29</t>
  </si>
  <si>
    <t>RV02050200362020022</t>
  </si>
  <si>
    <t>ผศ.ดร.วิไลลักษณ์ กล่อมพงษ์</t>
  </si>
  <si>
    <t>คณะอุตสาหกรรมเกษตรและชีวภาพ</t>
  </si>
  <si>
    <t>สถาบันวิจัยวิทยาศาสตร์และ
เทคโนโลยีแห่งประเทศไทย</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</si>
  <si>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1
</t>
    </r>
    <r>
      <rPr>
        <b/>
        <sz val="13"/>
        <color theme="1"/>
        <rFont val="TH SarabunPSK"/>
        <family val="2"/>
      </rPr>
      <t>(วงเงินรวม 1,258,000.00 บ.)</t>
    </r>
  </si>
  <si>
    <t>05/03/2562</t>
  </si>
  <si>
    <t>PR2-2562:4/10</t>
  </si>
  <si>
    <t>RV02050200362030029</t>
  </si>
  <si>
    <t>อาจารย์ ดร.พลากร บุญใส</t>
  </si>
  <si>
    <t>สำนักงานพัฒนาการวิจัย
การเกษตร</t>
  </si>
  <si>
    <t>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1 
วงเงินตามงบประมาณ 433,400 บาท</t>
  </si>
  <si>
    <t>01/04/2562</t>
  </si>
  <si>
    <t>PR2-2562:4/36</t>
  </si>
  <si>
    <t>RV02050200362040001</t>
  </si>
  <si>
    <t>สำนักงานพัฒนาเศรษฐกิจ
จากฐานชีวภาพ 
(องค์การมหาชน)</t>
  </si>
  <si>
    <r>
      <t xml:space="preserve">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2 
</t>
    </r>
    <r>
      <rPr>
        <b/>
        <sz val="13"/>
        <color theme="1"/>
        <rFont val="TH SarabunPSK"/>
        <family val="2"/>
      </rPr>
      <t xml:space="preserve">(วงเงินตามสัญญา 500,000 บาท) </t>
    </r>
  </si>
  <si>
    <t>09/04/2562</t>
  </si>
  <si>
    <t>PR2-2562:4/39</t>
  </si>
  <si>
    <t>RV02050200362040113</t>
  </si>
  <si>
    <t>ผู้ช่วยศาสตราจารย์อุษา อ้นทอง</t>
  </si>
  <si>
    <t>กองทุนสนับสนุน
การสร้างเสริมสุขภาพ 
(สสส.)</t>
  </si>
  <si>
    <r>
      <t xml:space="preserve">ค่าธรรมเนียมสถาบันของงวดที่ 1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TH SarabunPSK"/>
        <family val="2"/>
      </rPr>
      <t xml:space="preserve">งบประมาณทั้งสิ้น 2,000,000บ. </t>
    </r>
  </si>
  <si>
    <t>PR2-2562:4/38</t>
  </si>
  <si>
    <t>RV02050200362040114</t>
  </si>
  <si>
    <t>อาจารย์ ดร.นันทรัตน์ พฤกษาพิทักษ์</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</si>
  <si>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1
</t>
    </r>
    <r>
      <rPr>
        <b/>
        <sz val="13"/>
        <color theme="1"/>
        <rFont val="TH SarabunPSK"/>
        <family val="2"/>
      </rPr>
      <t xml:space="preserve">งบประมาณทั้งสิ้น 1,500,000 บ. </t>
    </r>
  </si>
  <si>
    <t>หักส่ง
ค่าธรรมเนียม
ในงวดที่ 3</t>
  </si>
  <si>
    <t>PR2-2562:5/33</t>
  </si>
  <si>
    <t>RV02050200362050241</t>
  </si>
  <si>
    <t>อาจารย์ ดร.สุปานดี มณีโลกย์</t>
  </si>
  <si>
    <t xml:space="preserve">สำนักงานพัฒนา
วิทยาศาสตร์และ
เทคโนโลยีแห่งชาติ </t>
  </si>
  <si>
    <r>
      <t xml:space="preserve">เงินสนับสนุนทุนนักวิจัยใหม่ (วท.) 
ประจำปี 2561 เรื่อง การบำบัดโรดามีน 
บี ด้วยกระบวนการไฟฟ้าเคมีโดยใช้
ขั่วไฟฟ้า Ni/Sb-SnO2 งวดที่ 1
</t>
    </r>
    <r>
      <rPr>
        <b/>
        <sz val="13"/>
        <color theme="1"/>
        <rFont val="TH SarabunPSK"/>
        <family val="2"/>
      </rPr>
      <t xml:space="preserve">งบประมาณทั้งสิ้น 250,000 บาท </t>
    </r>
  </si>
  <si>
    <t>PR2-2562:5/32</t>
  </si>
  <si>
    <t>RV02050200362050242</t>
  </si>
  <si>
    <t>อาจารย์ ดร.นันทิยา พนมจันทร์</t>
  </si>
  <si>
    <t>คณะเทคโนโลยีและ
การพัฒนาชุมชน</t>
  </si>
  <si>
    <r>
      <t xml:space="preserve">เงินสนับสนุนทุนนักวิจัยใหม่ (วท.) 
ประจำปี 2561 เรื่อง การพัฒนาเทคนิค
ไบโอไพรมิงที่เหมาะสมต่อการยกระดับ
คุณภาพเมล็ดพันธุ์ด้วยแบคทีเรียส่งเสริม
การเจริญเติบโตบริเวณรากของข้าว งวดที่ 1
</t>
    </r>
    <r>
      <rPr>
        <b/>
        <sz val="13"/>
        <color theme="1"/>
        <rFont val="TH SarabunPSK"/>
        <family val="2"/>
      </rPr>
      <t>งบประมาณทั้งสิ้น 250,000 บาท</t>
    </r>
  </si>
  <si>
    <t>PR2-2562:5/42</t>
  </si>
  <si>
    <t>RV02050200362050305</t>
  </si>
  <si>
    <r>
      <t xml:space="preserve">ทุนอุดหนุนดำเนินการวิจัย เรื่อง โครงการ
การกำจัดก๊าซไฮโดรเจนซัลไฟด์ในก๊าซ
ชีวภาพด้วยระบบ Denitrifying Sulfide 
Remaoval งวดที่ 4 
</t>
    </r>
    <r>
      <rPr>
        <b/>
        <sz val="13"/>
        <color theme="1"/>
        <rFont val="TH SarabunPSK"/>
        <family val="2"/>
      </rPr>
      <t xml:space="preserve">(งบประมาณทั้งสิ้น 470,000.00 บาท) </t>
    </r>
  </si>
  <si>
    <t>PR2-2562:6/20</t>
  </si>
  <si>
    <t>RV02050200362070027</t>
  </si>
  <si>
    <t>อาจารย์ ดร.นิรมล จันทรชาติ</t>
  </si>
  <si>
    <r>
      <t xml:space="preserve">ทุนอุดหนุนดำเนินการวิจัยตามโครงการ
วิจัยพัฒนาและวิศวกรรมเรื่อง การคำนวณ
และการดูดซับโลหะหนักในน้ำ โดยใช้
โครงสร้างคอนเดนส์แทนนินในวัสดุธรรมชาติ
เป็นตัวดูดซับ งวดที่ 3
</t>
    </r>
    <r>
      <rPr>
        <b/>
        <sz val="13"/>
        <color theme="1"/>
        <rFont val="TH SarabunPSK"/>
        <family val="2"/>
      </rPr>
      <t>งบประมาณทั้งโครงการ 250,000 บาท</t>
    </r>
  </si>
  <si>
    <t>หักส่ง
ค่าธรรมเนียม
ในงวดที่ 1</t>
  </si>
  <si>
    <t>19/07/2562</t>
  </si>
  <si>
    <t>PR2-2562:6/31</t>
  </si>
  <si>
    <t>RV02050200362070285</t>
  </si>
  <si>
    <t>ผศ.ดร.ชลทิศา สุขเกษม</t>
  </si>
  <si>
    <t>สำนักงานพัฒนาการวิจัย
เกษตร (องค์การมหาชน)</t>
  </si>
  <si>
    <r>
      <rPr>
        <b/>
        <u/>
        <sz val="13"/>
        <color theme="1"/>
        <rFont val="TH SarabunPSK"/>
        <family val="2"/>
      </rPr>
      <t>เงินค่าธรรมเนียมอุดหนุนสถาบันตามที่หน่วยงานต้นเรื่องสนับสนุนตามแผน</t>
    </r>
    <r>
      <rPr>
        <sz val="13"/>
        <color theme="1"/>
        <rFont val="TH SarabunPSK"/>
        <family val="2"/>
      </rPr>
      <t xml:space="preserve">
ตามสัญญาเลขที่ CRP5805021760 สัญญา
รับทุนอุดหนุนโครงการวิจัยการเกษตร 
เรื่อง การบำบัดสีในน้ำเสียจากการแปรรูป
ปาล์มน้ำมันด้วยเซลล์เชื้อเพลิงจุลินทรีย์ชนิดใช้กล้าเชื้อราที่เจริญภายใต้สภาวะไร้อากาศ
เป็นตัวเร่งบนขั้วอาโนด 
</t>
    </r>
    <r>
      <rPr>
        <b/>
        <sz val="13"/>
        <color theme="1"/>
        <rFont val="TH SarabunPSK"/>
        <family val="2"/>
      </rPr>
      <t>งบประมาณทั้งสิ้น 800,594.00 บาท</t>
    </r>
  </si>
  <si>
    <t>23/07/2562</t>
  </si>
  <si>
    <t>PR2-2562:6/34</t>
  </si>
  <si>
    <t>RV02050200362070341</t>
  </si>
  <si>
    <r>
      <t xml:space="preserve">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2
</t>
    </r>
    <r>
      <rPr>
        <b/>
        <sz val="13"/>
        <color theme="1"/>
        <rFont val="TH SarabunPSK"/>
        <family val="2"/>
      </rPr>
      <t xml:space="preserve">งบประมาณทั้งสิ้น 1,500,000 บ. </t>
    </r>
  </si>
  <si>
    <t>07/08/2562</t>
  </si>
  <si>
    <t>PR2-2562:7/4</t>
  </si>
  <si>
    <t>RV02050200362080084</t>
  </si>
  <si>
    <t>ทุนอุดหนุนดำเนินการวิจัย เรื่อง Effects 
of enzyme solution on apparent 
digestibility coefficient of feed 
ingredients in hybrid catfish. 
(Ciarias macrocephalus X Clarias 
gariepinus)  งวดที่ 2</t>
  </si>
  <si>
    <t>PR2-2562:7/3</t>
  </si>
  <si>
    <t>RV02050200362080085</t>
  </si>
  <si>
    <t>ทุนอุดหนุนดำเนินการวิจัย เรื่อง The effect 
of high levels of supplementation 
in diet on growth performance and 
feed utilization of Nile tilapia งวดที่ 1</t>
  </si>
  <si>
    <t>13/08/2562</t>
  </si>
  <si>
    <t>PR2-2562:7/12</t>
  </si>
  <si>
    <t>RV02050200362080151</t>
  </si>
  <si>
    <t>รศ.ดร.จอมภพ แววศักดิ์</t>
  </si>
  <si>
    <t xml:space="preserve">ไฟฟ้าฝ่ายผลิต
แห่งประเทศไทย (กฟผ) </t>
  </si>
  <si>
    <t xml:space="preserve">เงินงวดพิเศษ ก. ตามสัญญาที่ 
RDG59D0013 เรื่อง การศึกษาความ
เป็นไปได้ของโรงไฟฟ้าฟาร์มกังหันลมใกล้
ชายฝั่งทะเลและนอกชายฝั่งทะเลอ่าวไทย 
(ระยะที่สอง) : การวิเคราะห์ลม การประเมิน
ทางเทคนิคและกระบวนการประเมิน
ทางสิ่งแวดล้อมในพื้นที่ที่มีศักยภาพ </t>
  </si>
  <si>
    <t>PR2-2562:7/13</t>
  </si>
  <si>
    <t>สำนักงานกองทุนสนับสนุนการวิจัย (สกว)</t>
  </si>
  <si>
    <t>PR2-2562:7/11</t>
  </si>
  <si>
    <t>RV02050200362080155</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</si>
  <si>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2
</t>
    </r>
    <r>
      <rPr>
        <b/>
        <sz val="13"/>
        <color theme="1"/>
        <rFont val="TH SarabunPSK"/>
        <family val="2"/>
      </rPr>
      <t>(วงเงินรวม 1,258,000.00 บ.)</t>
    </r>
  </si>
  <si>
    <t>29/08/2562</t>
  </si>
  <si>
    <t>PR2-2562:7/28</t>
  </si>
  <si>
    <t>RV02050200362080326</t>
  </si>
  <si>
    <r>
      <t xml:space="preserve">ตามสัญญาเลขที่ จ.19/2562 เพื่อจ้างทำงาน
ต่อยอดและสร้างนวัตกรรมแบบมีส่วนร่วม
ให้กับโครงการ 1 ตำบล 1 นวัตกรรมเกษตร 
จำนวน 7 โครงการ งวดที่ 3 (งวดสุดท้าย)
</t>
    </r>
    <r>
      <rPr>
        <b/>
        <sz val="13"/>
        <color theme="1"/>
        <rFont val="TH SarabunPSK"/>
        <family val="2"/>
      </rPr>
      <t>(วงเงินรวม 1,258,000.00 บ.)</t>
    </r>
  </si>
  <si>
    <t>PR2-2562:7/47</t>
  </si>
  <si>
    <t>RV02050200362090260</t>
  </si>
  <si>
    <r>
      <t xml:space="preserve">ตามสัญญาเลขที่ PRP6105012420  
เงินสนับสนุนโครงการวิจัย เรื่อง 
การพัฒนาคุณสมบัติทางกายภาพของ
ใบไม้สีทองด้วยการเคลือบน้ำยาง
เพื่อเพิ่มมูลค่าผลิตภัณฑ์ในพื้นที่จังหวัด
ชายแดนภาคใต้ งวดที่ 2
</t>
    </r>
    <r>
      <rPr>
        <b/>
        <sz val="13"/>
        <color theme="1"/>
        <rFont val="TH SarabunPSK"/>
        <family val="2"/>
      </rPr>
      <t>วงเงินตามงบประมาณ 433,400 บาท</t>
    </r>
  </si>
  <si>
    <t>รวมยอดเงินรับรายได้ประเภททุนสนับสนุนเพื่อการวิจัยระหว่างเดือนตุลาคม 2561 - กันยายน 2562 เป็นเงินทั้งสิ้น</t>
  </si>
  <si>
    <t>(นางสาวอุไรวรรณ สุวรรณมณี)</t>
  </si>
  <si>
    <t>(นางสาวศกลวรรณ  ดำนุ้ย)</t>
  </si>
  <si>
    <t>นักวิชาการเงินและบัญชี</t>
  </si>
  <si>
    <t>ทะเบียนคุมเงินทุนวิจัยภายนอก  (เริ่มเก็บข้อมูลวันที่ 22 กันยายน 2557)</t>
  </si>
  <si>
    <t>เลขที่ใบสำคัญทั่วไป</t>
  </si>
  <si>
    <t>PR2-2557:12/6</t>
  </si>
  <si>
    <t>RV02050200357090382</t>
  </si>
  <si>
    <t>คณะเศรษฐศาสตร์ฯ</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</si>
  <si>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ตามใบเสร็จเลขที่1319/01-25,27,1318/03-09 ฝากเช็คผ่านธ.กรุงไทย082-4 วันที่ 28/8/57-1/9/57(90%เป็นงบดำเนินงาน=701,100/5%เป็นของกองทุนวิจัย=38,950)</t>
  </si>
  <si>
    <t>PR2-2557:12/7</t>
  </si>
  <si>
    <t>RV02050200357090384</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</si>
  <si>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ตามใบเสร็จเลขที่1319/26,28-31,1318/11 ฝากเช็คผ่านธ.กรุงไทย082-4 วันที่ 8/9/57(90%เป็นงบดำเนินงาน=135,000/5%เป็นของกองทุนวิจัย=7,500)</t>
  </si>
  <si>
    <t>PR2-2557:12/8</t>
  </si>
  <si>
    <t>RV02050200357090386</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</si>
  <si>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ตามใบเสร็จเลขที่1319/32,34,1318/12,14 ฝากเช็คผ่านธ.กรุงไทย082-4 วันที่ 11/9/57 (งบดำเนินงาน90%=90,000/กองทุนวิจัย5%=5,000)</t>
  </si>
  <si>
    <t>PR2-2557:12/13</t>
  </si>
  <si>
    <t>RV02050200357090447</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</si>
  <si>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ตามใบเสร็จเลขที่1319/35-37,1318/15 ฝากเช็คผ่านธ.082-4 วันที่ 23/9/57(90%เป็นงบดำเนินงาน=76,500/5%เป็นของกองทุนวิจัย=4,250)</t>
  </si>
  <si>
    <t>PR2-2558:1/8</t>
  </si>
  <si>
    <t>RV02050200358100115</t>
  </si>
  <si>
    <t>รับเงินโครงการวิจัยทุนจากภายนอก(เรื่องสำรวจความพึงพอใจของประชาชนที่มีต่อผลการดำเนินงานขององค์กรปกครองส่วนท้องถิ่นปี 2556-2560-คณะเศรษฐศาสตร์และบริหารธุรกิจ ตามใบเสร็จเลขที่1319/38-50,1318/16-40,42 ฝากเช็คผ่านธ.082-4 วันที่ 16/10/57(90%เป็นงบดำเนินงาน=672,300/5%เป็นของกองทุนวิจัย=37,350)</t>
  </si>
  <si>
    <t>PR2-2558:1/17</t>
  </si>
  <si>
    <t>RV02050200358110167</t>
  </si>
  <si>
    <t>รับเงินสนับสนุนโครงการวิจัย เรื่องประเมินความพึงพอใจของผู้รับบริการที่ทีต่อการให้บริการขององค์การบริการส่วนตำบลหินตก อ.ร่อนพิบูลย์ จ.นครศรีธรรมราช ตามใบเสร็จ PL2-2558:1/17(เข้าทุนวิจัยภายนอก=22,500,เข้าสถาบันวิจัย=1,250.-)</t>
  </si>
  <si>
    <t>PR2-2558:1/24</t>
  </si>
  <si>
    <t>RV02050200358120028</t>
  </si>
  <si>
    <t>คณะเทคโนโลยี</t>
  </si>
  <si>
    <t>รับเงินสนับสนุนงานวิจัยจากภายนอก เรื่อง โรงงานต้นแบบระบบเซลล์เชื้อเพลิงจุลชีพแบบยูบีเอฟฯ- อ.ชลธิศา สุขเกษม จากสำนักวิจัยและพัฒนา ม.สงขลานครินทร์ โอนผ่านธ.กรุงไทย043-9 วันที่19/11/57=349,988.- ฝากเงินค่าธรรมเนียม 12 บาท เข้า วันที่1/12/57</t>
  </si>
  <si>
    <t>PR2-2558:2/1</t>
  </si>
  <si>
    <t>RV02050200358010083</t>
  </si>
  <si>
    <t>รับเงินทุนวิจัยภายนอก อ.จันทวรรณ น้อยศรี ทุนพัฒนาและวิศวกรรม-สนง.พัฒนาวิทยาศาสตร์และเทคโนโลยีแห่งชาติ เงินโอนผ่านธ.กรุงไทย082-4 วันที่ 8ธค.57(งบดำเนินงาน=145,800.-/กองทุนวิจัยม.ทักษิณ=15,000.-)</t>
  </si>
  <si>
    <t>PR2-2558:2/15</t>
  </si>
  <si>
    <t>RV02050200358020006</t>
  </si>
  <si>
    <t>รับเงินสนันทุนวิจัยโครงการวิจัยและพัฒนาภาครัฐร่วมเอกชนในเชิงพาณิชย์ฯ เรื่อง โรงงานต้นแบบระบบเซลล์เชื้อเพลิงจุลชีพแบบยูบีเอฟฯ ผศ.ดร.ชลธิศา สุขเกษม จากสหกรณ์กองทุนสวนยางบ้านทุ่งแสงทอง จำกัด โอนผ่านธ.กรุงไทย043-9 วันที่4/12/57</t>
  </si>
  <si>
    <t>PL2-2558:1/2</t>
  </si>
  <si>
    <t>RV02050200358040047</t>
  </si>
  <si>
    <t>รับเงินโอนโครงการวิจัยเชิงสำรวจ สำรวจความพึงพอใจของประชาชนต่อผลการดำเนินงานของเทศบาลเมืองเขารูปช้าง-คณะเศรษฐศาสตร์ฯ (เงินเข้าทุนวิจัยภายนอก90%=13,500 บาท และเข้ากองทุนวิจัย5%=750 บาท) ฝากเช็คเข้า ธ.กรุงไทย 082-4 วันที่ 30/3/58</t>
  </si>
  <si>
    <t>PR2-2558:3/18</t>
  </si>
  <si>
    <t>RV02050200358050144</t>
  </si>
  <si>
    <t>รับเงินทุนอุดหนุนการวิจัยจาก สกว.เรื่องการศึกษาความเป็นไปได้ของโรงไฟฟ้าฟาร์มกังหันลมใกล้ชายฝั่งทะเลฯ เฟส1 โอนผ่านธ.กรุง 043-9 วันที่ 17 และ 21 เมย.58 งบประมาณค่าตอบแทนส่วนของมหาวิทยาลัย-สถาบันวิจัยฯ 25%=130,902 บาท</t>
  </si>
  <si>
    <t>PL2-2558:3/27</t>
  </si>
  <si>
    <t>RV02050200358060007</t>
  </si>
  <si>
    <t>รับเงินทุนวิจัยภายนอกโครงการวิจัยเรื่อง การประเมินศักยภาพของพลังงานลมนอกชายฝั่งทะเลและความเป็นไปได้เบื้องต้นของโรงไฟฟ้าฟาร์มกังหันลมนอกชายฝั้งทะเล งวดสุดท้าย-การไฟฟ้าส่วนภูมิภาค PR2-2558:3/27 โอนผ่าน ธ.ไทยพษาณิชย์626-0 (งบดำเนินการวิจัย90%/เข้ากองทุนวิจัย10%)</t>
  </si>
  <si>
    <t>RV02050200358060126</t>
  </si>
  <si>
    <t>รับเงินค่าที่ปรึกษาดำเนินการสำรวจและรวบรวมผลงานวิจัยและพัฒนานวัตกรรมทางการศึกษาฯ โอนฝาก ธ.กรุงไทย 082-4 วันที่8/6/58 (งบดำเนินงาน90%=38,475.- /กองทุนวิจัยม.ทักษิณ5%=2,137.50/ส่วนงานคณะศึกษาศาสตร์5%=2,137.50)</t>
  </si>
  <si>
    <t>PL2-2558:1/4</t>
  </si>
  <si>
    <t>RV02050200358090249</t>
  </si>
  <si>
    <t>รับเงินทุนวิจัยภายนอก เรื่องสำรวจความพึงพอใจของประชาชนที่มีผลต่อการดำเนินงานขององค์กรปกครองส่วนท้องถิ่น โอนผ่าน ธ.กรุงไทย082-4 วันที่10-11 กย.58 เงินเข้าทุนวิจัยภายนอก90,000.-/เข้ากองทุน5,000.-</t>
  </si>
  <si>
    <t>PL1-2558:4/42</t>
  </si>
  <si>
    <t>RV02050200358090368</t>
  </si>
  <si>
    <t>รับเงินทุนวิจัยภายนอก เรื่องสำรวจความพึงพอใจของประชาชนที่มีผลต่อการดำเนินงานขององค์กรปกครองส่วนท้องถิ่น 1 องค์กร เงินเข้าทุนวิจัยภายนอก9,000.-/เข้ากองทุน500.- และเข้าหน่วยงานต้นสังกัด 500.- PL1-2558:4/42</t>
  </si>
  <si>
    <t>PL2-2558:1/5</t>
  </si>
  <si>
    <t>RV02050200358090370</t>
  </si>
  <si>
    <t>รับเงินทุนวิจัยภายนอก เรื่องสำรวจความพึงพอใจของประชาชนที่มีผลต่อการดำเนินงานขององค์กรปกครองส่วนท้องถิ่น 5 องค์กร โอนผ่าน ธ.กรุงไทย082-4 วันที่21 กย.58 เงินเข้าทุนวิจัยภายนอก94,500.-/เข้ากองทุน5,250.- และเงินเข้าส่วนงานคณะเศรษฐศาสตร์ฯ=5,250.- PL2-2558:1/5</t>
  </si>
  <si>
    <t>PR2-2558:5/3</t>
  </si>
  <si>
    <t>RV02050200358090451</t>
  </si>
  <si>
    <t>รับเงินทุนวิจัยภายนอก จ้างสำรวจและรวบรวมผลงานวิจัยและพัฒนานวัตกรรมทางการศึกษาฯ จากสนง.เลขาธิการสภาการศึกษา เงินเข้าทุนวิจัยภายนอก51,300.-/เข้ากองทุน2,850.- และเข้าหน่วยงานต้นสังกัด-คณะศึกษาศาสตร์ 2,850.- PR2-2558:5/3</t>
  </si>
  <si>
    <t>PR2-2558:4/8</t>
  </si>
  <si>
    <t>JV02050200358090174</t>
  </si>
  <si>
    <t>คณะวิทยาการสูขภาพและการกีฬา</t>
  </si>
  <si>
    <t>ปรัปบรุงเงินรับฝาก-คณะวิทยาการสุขภาพและการกีฬา เป็น เงินกองทุนวิจัยมหาวิทยาลัยทักษิณ ตามศธ64.26/2612 ลว.18 กย.58 โครงการวิจัย เรื่อง การประเมินผลโครงการภายใต้งบสร้างเสริมสุขภาพและป้องกันโรค ปี2558 สปสช.</t>
  </si>
  <si>
    <t>RV02050200359100008</t>
  </si>
  <si>
    <t>RV02050200359100086</t>
  </si>
  <si>
    <t>RV02050200359100117</t>
  </si>
  <si>
    <t>RV02050200359100153</t>
  </si>
  <si>
    <t>RV02050200359110095</t>
  </si>
  <si>
    <t>RV02050200359110132</t>
  </si>
  <si>
    <t>RV02050200359110230</t>
  </si>
  <si>
    <t>RV02050200359120190</t>
  </si>
  <si>
    <t>RV02050200359120223</t>
  </si>
  <si>
    <t>RV02050200359120259</t>
  </si>
  <si>
    <t>RV02050200359120311</t>
  </si>
  <si>
    <t>JV02050200359010067</t>
  </si>
  <si>
    <t>RV02050200359010024</t>
  </si>
  <si>
    <t>RV02050200359010077</t>
  </si>
  <si>
    <t>RV02050200359010192</t>
  </si>
  <si>
    <t>RV02050200359010208</t>
  </si>
  <si>
    <t>RV02050200359020205</t>
  </si>
  <si>
    <t>RV02050200359030100</t>
  </si>
  <si>
    <t>RV02050200359030217</t>
  </si>
  <si>
    <t>RV02050200359030282</t>
  </si>
  <si>
    <t>RV02050200359040012</t>
  </si>
  <si>
    <t>RV02050200359040014</t>
  </si>
  <si>
    <t>RV02050200359050045</t>
  </si>
  <si>
    <t>RV02050200359050110</t>
  </si>
  <si>
    <t>RV02050200359050184</t>
  </si>
  <si>
    <t>RV02050200359060072</t>
  </si>
  <si>
    <t>RV02050200359060202</t>
  </si>
  <si>
    <t>RV02050200359060280</t>
  </si>
  <si>
    <t>RV02050200359070366</t>
  </si>
  <si>
    <t>RV02050200359070372</t>
  </si>
  <si>
    <t>RV02050200359080027</t>
  </si>
  <si>
    <t>RV02050200359080342</t>
  </si>
  <si>
    <t>RV02050200359090146</t>
  </si>
  <si>
    <t>RV02050200359090157</t>
  </si>
  <si>
    <t>20/09/2559</t>
  </si>
  <si>
    <t>RV02050200359090401</t>
  </si>
  <si>
    <t>รับเงินโอนทุนวิจัยภายนอก จ้างสำรวจและรวบรวมผลงานวิจัยและพัฒนานวัตกรรมทางการศึกษา จาก สนง.เลขาธิการสภาการศึกษาโดย รศ.ดร.นิรันดร์ จุลทรัพย์ PR2-2559:6/44-45 ธ.กรุงไทย082-4 วันที่16/9/59 เข้าทุนวิจัยภายนอก4,725+262.50=4,987.50 บาท  เข้าคณะศึกษาศาสตร์=262.50 บาท</t>
  </si>
  <si>
    <t>27/09/2559</t>
  </si>
  <si>
    <t>RV02050200359090502</t>
  </si>
  <si>
    <t>28/09/2559</t>
  </si>
  <si>
    <t>RV02050200359090533</t>
  </si>
  <si>
    <t>RV02050200359090539</t>
  </si>
  <si>
    <t>RV02050200359090552</t>
  </si>
  <si>
    <t>29/09/2559</t>
  </si>
  <si>
    <t>RV02050200359090567</t>
  </si>
  <si>
    <t>รับเงินโอนทุนวิจัยภายนอก ทุนอุดหนุนโครงการวิจัยและพัฒนาภาครัฐร่วมเอกชนในเชิงพาณิชย์ ปี59 จากสำนักงานคณะกรรมการการวิจัยแห่งชาติ โดยผศ.ดร.อมรรัตน์ ถนนแก้ว PR2-2559:7/12 โอนผ่านธ.กรุงไทย082-4 วันที่16/9/59 เข้าทุนวิจัยภายนอก 280,000 บาท  ยกเว้นการหักค่าธรรมเนียมบำรุงสถาบันการศึกษา</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</si>
  <si>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t>
  </si>
  <si>
    <t>กรณีแหล่งทุนให้หักค่าธรรมเนียม
ตามระเบียบมหาวิทยาลัย
(10%หรือ16%จากยอดรับทั้งหมด)</t>
  </si>
  <si>
    <r>
      <rPr>
        <b/>
        <u/>
        <sz val="13"/>
        <color theme="1"/>
        <rFont val="Cordia New"/>
        <family val="2"/>
      </rPr>
      <t>ยกเว้น</t>
    </r>
    <r>
      <rPr>
        <b/>
        <sz val="13"/>
        <color theme="1"/>
        <rFont val="Cordia New"/>
        <family val="2"/>
      </rPr>
      <t xml:space="preserve">
ค่าธรรมเนียม
การวิจัย</t>
    </r>
  </si>
  <si>
    <t>PR2-2565:2/13</t>
  </si>
  <si>
    <t>RV00020900065100073</t>
  </si>
  <si>
    <t>อาจารย์ ดร.อภินันท์ เอื้ออังกูร</t>
  </si>
  <si>
    <t>องค์การอ็อกแฟม 
ประเทศไทย</t>
  </si>
  <si>
    <t>PL2-2565:1/8</t>
  </si>
  <si>
    <t>RV00020900065100132</t>
  </si>
  <si>
    <t>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t>
  </si>
  <si>
    <t>24/11/2564</t>
  </si>
  <si>
    <t>PL2-2565:1/23</t>
  </si>
  <si>
    <t>RV00020900065110139</t>
  </si>
  <si>
    <t>30/11/2564</t>
  </si>
  <si>
    <t>PR2-2565:5/3
-</t>
  </si>
  <si>
    <t>RV00020900065110164
JV00020900065110054</t>
  </si>
  <si>
    <t>สำนักงานการวิจัยแห่งชาติ 
(วช.)</t>
  </si>
  <si>
    <t>PR2-2565:5/7
-</t>
  </si>
  <si>
    <t>RV00020900065110165
JV00020900065110055</t>
  </si>
  <si>
    <t>อาจารย์ ปริยากรณ์ ชูแก้ว</t>
  </si>
  <si>
    <t>PR2-2565:5/6</t>
  </si>
  <si>
    <t>RV00020900065110166</t>
  </si>
  <si>
    <t>ผศ.ดร.ทวนธง ครุฑจ้อน</t>
  </si>
  <si>
    <t>เทศบาลตำบลสะบ้าย้อย</t>
  </si>
  <si>
    <t>05/11/2564</t>
  </si>
  <si>
    <t>PR2-2565:3/34</t>
  </si>
  <si>
    <t>RV00020900065110042</t>
  </si>
  <si>
    <t>DSM Singapore 
Industrial Pte. Ltd.</t>
  </si>
  <si>
    <t>28/01/2564</t>
  </si>
  <si>
    <t>PR2-2564:8/14</t>
  </si>
  <si>
    <t>RV00020900064010342</t>
  </si>
  <si>
    <t>วิทยาลัยการจัดการ
เพื่อการพัฒนา</t>
  </si>
  <si>
    <t>บริษัท ไอ.เอ็น.ดี.คอนซัลแตนท์ จำกัด</t>
  </si>
  <si>
    <t>ค่าธรรมเนียมร้อยละ 10 จากการวิจัยเรื่อง 
การบริหารจัดการขยะมูลฝอยที่มีประสิทธิภาพในพื้นที่จังหวัดพระนครศรีอยุธยา 
วงเงิน 400,000 บาท แต่เบิกจ่ายเพียงงวดที่ 1 
แบ่งจ่าย 200,000 บาท เนื่องจากบริษัทได้
ขอยกเลิกสัญญาการรับทุนวิจัย</t>
  </si>
  <si>
    <t>27/09/2564</t>
  </si>
  <si>
    <t>PR2-2564:21/7</t>
  </si>
  <si>
    <t>RV00020900064090242</t>
  </si>
  <si>
    <t>อ.ดร.จารุวรรณ ทองเนื้อแข็ง</t>
  </si>
  <si>
    <t>สำนักงานสภานโยบายการ
อุดมศึกษา วิทยาศาสตร์ 
วิจัยและนวัตกรรมแห่งชาติ</t>
  </si>
  <si>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1
</t>
    </r>
    <r>
      <rPr>
        <b/>
        <sz val="13"/>
        <color theme="1"/>
        <rFont val="Cordia New"/>
        <family val="2"/>
      </rPr>
      <t xml:space="preserve">วงเงินทั้งสิ้น 559,130 บาท </t>
    </r>
  </si>
  <si>
    <t>ปรับปรุง
รายได้
และ
ค่าใช้จ่าย</t>
  </si>
  <si>
    <t>JV00020900064090262</t>
  </si>
  <si>
    <t xml:space="preserve">ปรับปรุงรายได้เพื่อการวิจัยจากแหล่งทุน
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การบริหารจัดการขยะมูลฝอย
ที่มีประสิทธิภาพในพื้นที่จังหวัดพระนครศรีอยุธยา งวดที่ 1 </t>
  </si>
  <si>
    <t>26/10/2563</t>
  </si>
  <si>
    <t>PL2-2564:1/8</t>
  </si>
  <si>
    <t>RV02050200364100158
RV02050200364100159</t>
  </si>
  <si>
    <t>03/11/2563</t>
  </si>
  <si>
    <t>PL2-2564:1/17</t>
  </si>
  <si>
    <t>RV02050200364110020
RV02050200364110021</t>
  </si>
  <si>
    <t>องค์กรปกครองส่วนท้องถิ่น
จำนวน 9 หน่วยงาน</t>
  </si>
  <si>
    <t>PL2-2563:1/22</t>
  </si>
  <si>
    <t>RV02050200364110027
RV02050200364110028</t>
  </si>
  <si>
    <t>PL2-2564:1/21</t>
  </si>
  <si>
    <t>RV02050200364110029</t>
  </si>
  <si>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theme="1"/>
        <rFont val="Cordia New"/>
        <family val="2"/>
      </rPr>
      <t>(เงินประกันผลงาน)</t>
    </r>
  </si>
  <si>
    <t>PL2-2564:1/30</t>
  </si>
  <si>
    <t>RV00020900064110061
RV00020900064110062</t>
  </si>
  <si>
    <t>30/11/2563</t>
  </si>
  <si>
    <t>PL2-2564:1/45</t>
  </si>
  <si>
    <t>RV00020900064110178</t>
  </si>
  <si>
    <t>PL2-2564:1/44</t>
  </si>
  <si>
    <t>RV00020900064110180</t>
  </si>
  <si>
    <t>02/12/2563</t>
  </si>
  <si>
    <t>PR2-2564:4/36</t>
  </si>
  <si>
    <t>RV00020900064120013</t>
  </si>
  <si>
    <t>ผศ.ดร.ศันสนีย์ จันทร์อานุภาพ</t>
  </si>
  <si>
    <t>มหาวิทยาลัยราชภัฎยะลา 
ภายใต้โครงการวิจัยและ
นวัตกรรมเพื่อถ่ายทอด
เทคโนโลยีสู่ชุมชนฐานราก</t>
  </si>
  <si>
    <r>
      <t xml:space="preserve">เงินสนับสนุนทุนวิจัย 1 โครงการ เรื่อง ผู้สูงอายุ
กับการลดความเสี่ยงจากการแพร่ระบาดของ
โรคติดเชื้อโควิด-19 (Elderly and COVID-19 Pandemic Risk Reduction) 
</t>
    </r>
    <r>
      <rPr>
        <b/>
        <sz val="13"/>
        <color theme="1"/>
        <rFont val="Cordia New"/>
        <family val="2"/>
      </rPr>
      <t xml:space="preserve">เป็นเงินทั้งสิ้น 152,000.00 บาท </t>
    </r>
    <r>
      <rPr>
        <sz val="13"/>
        <color theme="1"/>
        <rFont val="Cordia New"/>
        <family val="2"/>
      </rPr>
      <t xml:space="preserve">
</t>
    </r>
    <r>
      <rPr>
        <b/>
        <sz val="13"/>
        <color rgb="FFFF0000"/>
        <rFont val="Cordia New"/>
        <family val="2"/>
      </rPr>
      <t>(ไม่หักค่าธรรมเนียมวิจัยร้อยละ 10)</t>
    </r>
  </si>
  <si>
    <t>09/12/2563</t>
  </si>
  <si>
    <t>PR2-2564:5/24</t>
  </si>
  <si>
    <t>RV00020900064120104</t>
  </si>
  <si>
    <t>รศ.ดร.รุ่งรัชดาพร เวหะชาติ</t>
  </si>
  <si>
    <t>สำนักงานเลขาธิการ
สภาการศึกษา</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</si>
  <si>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3
วงเงินงบประมาณทั้งสิ้น 2,000,000.00 บาท</t>
  </si>
  <si>
    <t>14/12/2563</t>
  </si>
  <si>
    <t>PR2-2564:5/27</t>
  </si>
  <si>
    <t>RV00020900064120112</t>
  </si>
  <si>
    <t>อ.ดร.ทวนธง ครุฑจ้อน</t>
  </si>
  <si>
    <t xml:space="preserve">องค์การบริหารส่วน
จังหวัดภูเก็ต </t>
  </si>
  <si>
    <t>ตามสัญญาจ้างผู้เชี่ยวชาญรายบุคคลหรือ
จ้างบริษัทที่ปรึกษา เลขที่ 0003/2563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พ.ศ.2563 วงเงินตามสัญญา 79,092.00 บาท</t>
  </si>
  <si>
    <t>PL2-2564:2/9</t>
  </si>
  <si>
    <t>RV00020900064120115</t>
  </si>
  <si>
    <t>PL2-2564:2/8</t>
  </si>
  <si>
    <t>RV00020900064120226</t>
  </si>
  <si>
    <t>25/12/2563</t>
  </si>
  <si>
    <t>PL2-2564:2/31</t>
  </si>
  <si>
    <t>RV00020900064120245</t>
  </si>
  <si>
    <t>PL2-2564:2/29</t>
  </si>
  <si>
    <t>RV00020900064120246</t>
  </si>
  <si>
    <t>06/01/2564</t>
  </si>
  <si>
    <t>PL2-2564:2/41</t>
  </si>
  <si>
    <t>RV00020900064010028</t>
  </si>
  <si>
    <t>07/01/2564</t>
  </si>
  <si>
    <t>PR2-2564:6/43</t>
  </si>
  <si>
    <t>RV00020900064010067</t>
  </si>
  <si>
    <t>เงินสนับสนุนเพื่อการวิจัย เรื่อง การศึกษารูปแบบการจัดจำหน่ายสัตว์น้ำเศรษฐกิจที่
โตไม่ได้ขนาดในประเทศไทย งวดที่ 3
วงเงินงบประมาณทั้งสิ้น 653,400 บาท</t>
  </si>
  <si>
    <t>11/01/2564</t>
  </si>
  <si>
    <t>PR2-2564:7/14</t>
  </si>
  <si>
    <t>RV00020900064010138</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</si>
  <si>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4
วงเงินงบประมาณทั้งสิ้น 2,000,000.00 บาท</t>
  </si>
  <si>
    <t>PR2-2564:7/15</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</si>
  <si>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(เงินประกันงวด4)
วงเงินงบประมาณทั้งสิ้น 2,000,000.00 บาท</t>
  </si>
  <si>
    <t>15/01/2564</t>
  </si>
  <si>
    <t>PL2-2564:3/10</t>
  </si>
  <si>
    <t>RV00020900064010182</t>
  </si>
  <si>
    <t>02/02/2564</t>
  </si>
  <si>
    <t>PR2-2564:8/23</t>
  </si>
  <si>
    <t>RV00020900064020032</t>
  </si>
  <si>
    <t>03/02/2564</t>
  </si>
  <si>
    <t>PR2-2564:9/9</t>
  </si>
  <si>
    <t>RV00020900064020042</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</si>
  <si>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(เงินประกันงวด3)
วงเงินงบประมาณทั้งสิ้น 2,000,000.00 บาท</t>
  </si>
  <si>
    <t>16/02/2564</t>
  </si>
  <si>
    <t>PR2-2564:9/45</t>
  </si>
  <si>
    <t>RV00020900064020123</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</si>
  <si>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(เงินประกันงวด2)
วงเงินงบประมาณทั้งสิ้น 2,000,000.00 บาท</t>
  </si>
  <si>
    <t>PR2-2564:9/44</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</si>
  <si>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(เงินประกันงวด1)
วงเงินงบประมาณทั้งสิ้น 2,000,000.00 บาท</t>
  </si>
  <si>
    <t>22/02/2564</t>
  </si>
  <si>
    <t>PR2-2564:10/8</t>
  </si>
  <si>
    <t>RV00020900064020166</t>
  </si>
  <si>
    <t>สำนักงานปลัดกระทรวง
การอุดมศึกษา วิทยาศาสตร์ 
วิจัยและนวัตกรรม</t>
  </si>
  <si>
    <r>
      <t xml:space="preserve">ตามบันทึกข้อตกลงความร่วมมือ โครงการ
พัฒนาสื่อต้นแบบ ภายใต้โครงการพัฒนา
คุณภาพการศึกษาและการพัฒนาท้องถิ่น 
โดยมีสถาบันอุดมศึกษาเป็นพี่เลี้ยง 
</t>
    </r>
    <r>
      <rPr>
        <b/>
        <sz val="13"/>
        <color theme="1"/>
        <rFont val="Cordia New"/>
        <family val="2"/>
      </rPr>
      <t xml:space="preserve"> วงเงินงบประมาณทั้งสิ้น 70,000 บาท </t>
    </r>
  </si>
  <si>
    <t>01/03/2564</t>
  </si>
  <si>
    <t>PR2-2564:10/26</t>
  </si>
  <si>
    <t>RV00020900064030005</t>
  </si>
  <si>
    <t>ผศ.เสริมศักดิ์ ขุนพล</t>
  </si>
  <si>
    <t>สำนักงานกองทุนสนับสนุน
การสร้างเสริมสุขภาพ (สสส.)
ศูนย์วิจัยปัญหาสุรา</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</si>
  <si>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2 
</t>
    </r>
    <r>
      <rPr>
        <b/>
        <sz val="13"/>
        <color theme="1"/>
        <rFont val="Cordia New"/>
        <family val="2"/>
      </rPr>
      <t>งบประมาณทั้งสิ้น 442,200 บ.</t>
    </r>
    <r>
      <rPr>
        <sz val="13"/>
        <color theme="1"/>
        <rFont val="Cordia New"/>
        <family val="2"/>
      </rPr>
      <t xml:space="preserve"> </t>
    </r>
  </si>
  <si>
    <t>11/03/2564</t>
  </si>
  <si>
    <t>PL2-2564:4/3</t>
  </si>
  <si>
    <t>RV00020900064030119</t>
  </si>
  <si>
    <t>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พ.ศ.2564</t>
  </si>
  <si>
    <t>17/03/2564</t>
  </si>
  <si>
    <t>PR2-2564:12/15</t>
  </si>
  <si>
    <t>RV00020900064030153</t>
  </si>
  <si>
    <t>สถาบันส่งเสริมการสอน
วิทยาศาสตร์และเทคโนโลยี 
(สสวท.)</t>
  </si>
  <si>
    <r>
      <t xml:space="preserve">ทุนอุดหนุนโครงการเพิ่มศักยภาพครูให้มี
สมรรถนะของครูยุคใหม่สำหรับการเรียนรู้
ศตวรรษที่ 21  เรื่อง การพัฒนาศูนย์การเรียนรู้
ฐานสมรรถนะวิทยาศาสตร์ คณิตศาสตร์และ
เทคโนโลยี (SMT) สู่อาชีพของเยาวชนให้มีวิถี
ชีวิตโดยใช้ปรัชญาเศรษฐกิจพอเพียง 
พื้นที่เกาะหลีเป๊ะ 
</t>
    </r>
    <r>
      <rPr>
        <b/>
        <sz val="13"/>
        <color theme="1"/>
        <rFont val="Cordia New"/>
        <family val="2"/>
      </rPr>
      <t>งบประมาณทั้งสิ้น 1,000,000 บาท</t>
    </r>
  </si>
  <si>
    <t>24/03/2564</t>
  </si>
  <si>
    <t>PR2-2564:13/9</t>
  </si>
  <si>
    <t>RV00020900064030268</t>
  </si>
  <si>
    <t>อาจารย์วีณา ลีลาประเสริฐศิลป์</t>
  </si>
  <si>
    <t>สถาบันการอาชีวศึกษา
ภาคใต้ 3 สำนักงาน
คณะกรรมการการ
อาชีวศึกษา 
กระทรวงศึกษาธิการ</t>
  </si>
  <si>
    <r>
      <t xml:space="preserve">ตามบันทึกข้อตกลงจ้าง เลขที่ งปม.13/2563
จ้างให้ปฏิบัติงานในโครงการพัฒนาศักยภาพ
การรับรู้ด้านการจัดการศึกษาของสถาบันการ
อาชีวศึกษาภาคใต้ 3 เพื่อรองรับการพัฒนา
พื้นที่ระเบียงเศรษฐกิจภาคใต้อย่างยั่งยืน 
โครงการย่อย : งานวิจัยและพัฒนาหลักสูตร
ปริญญาตรี สาขาการจัดการโลจิสติกส์ 
</t>
    </r>
    <r>
      <rPr>
        <b/>
        <sz val="13"/>
        <color theme="1"/>
        <rFont val="Cordia New"/>
        <family val="2"/>
      </rPr>
      <t>โดยนำส่งเพียงเงินค่าธรรมเนียมการวิจัย
ร้อยละ 10 จากวงเงินงบประมาณทั้งสิ้น 
240,000 บาท</t>
    </r>
  </si>
  <si>
    <t>23/04/2564</t>
  </si>
  <si>
    <t>เล่มที่ 1017
เลขที่ 35</t>
  </si>
  <si>
    <t>RV00020900064040145</t>
  </si>
  <si>
    <t>องค์การบริหารส่วน
จังหวัดภูเก็ต</t>
  </si>
  <si>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
บริการส่วนจังหวัดภูเก็ต ประจำปีงบประมาณ พ.ศ.2564 งวดที่ 1
</t>
    </r>
    <r>
      <rPr>
        <b/>
        <sz val="13"/>
        <color theme="1"/>
        <rFont val="Cordia New"/>
        <family val="2"/>
      </rPr>
      <t/>
    </r>
  </si>
  <si>
    <t>27/04/2564</t>
  </si>
  <si>
    <t>เล่มที่ 1017
เลขที่ 38</t>
  </si>
  <si>
    <t>RV00020900064040151</t>
  </si>
  <si>
    <t>อ.ดร.อภิรัตน์ดา ทองแกมแก้ว</t>
  </si>
  <si>
    <t>สถาบันทดสอบทาง
การศึกษาแห่งชาติ 
(องค์การมหาชน)</t>
  </si>
  <si>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1 
</t>
    </r>
    <r>
      <rPr>
        <b/>
        <sz val="13"/>
        <color theme="1"/>
        <rFont val="Cordia New"/>
        <family val="2"/>
      </rPr>
      <t>งบสนับสนุนจำนวน 201,440 บาท</t>
    </r>
  </si>
  <si>
    <t>06/05/2564</t>
  </si>
  <si>
    <t>เล่มที่ 1100 
เลขที่ 43</t>
  </si>
  <si>
    <t>RV00020900064050031</t>
  </si>
  <si>
    <t>ศูนย์ศึกษาปัญหา
การเสพติด</t>
  </si>
  <si>
    <r>
      <t xml:space="preserve">ตามข้อตกลงดำเนินงานสร้างเสริมสุขภาพ
เลขที่ 62-01619-0008 โครงการการสร้างสรรค์
สื่อรณรงค์แบบมีส่วนร่วมเพื่อสร้างความเข้าใจ
และลดปัญญาการเสพน้ำกระท่อมในกลุ่ม
เยาวชนพื้นที่เสี่ยงของจังหวัดสงขลา 
งวดที่ 2-3 </t>
    </r>
    <r>
      <rPr>
        <b/>
        <sz val="13"/>
        <color theme="1"/>
        <rFont val="Cordia New"/>
        <family val="2"/>
      </rPr>
      <t xml:space="preserve">วงเงินทั้งสิ้น 130,900 บาท </t>
    </r>
  </si>
  <si>
    <t>13/05/2564</t>
  </si>
  <si>
    <t>เล่มที่ 1101 
เลขที่ 13</t>
  </si>
  <si>
    <t>RV00020900064050065</t>
  </si>
  <si>
    <t>สำนักงานกองทุน
สนับสนุนการสร้างเสริม
สุขภาพ (สสส.) ภายใต้
โครงการศูนย์ศึกษา
ปัญหาสุรา (ศวส.)</t>
  </si>
  <si>
    <r>
      <t xml:space="preserve">ตามข้อตกลงดำเนินงานสร้างเสริมสุขภาพ 
เลขที่ 61-02029-0092 โครงการรูปแบบการ
นำเสนอและผลสะท้อนกลับของโฆษณาตรา
เสมือนธุรกิจเครื่องดื่มแอลกอฮอล์ใน
ประเทศไทย งวดที่ 1 
</t>
    </r>
    <r>
      <rPr>
        <b/>
        <sz val="13"/>
        <color theme="1"/>
        <rFont val="Cordia New"/>
        <family val="2"/>
      </rPr>
      <t xml:space="preserve">วงเงินทั้งสิ้น 192,500 บาท </t>
    </r>
  </si>
  <si>
    <t>07/06/2564</t>
  </si>
  <si>
    <t>เล่มที่ 1102 
เลขที่ 47</t>
  </si>
  <si>
    <t>RV00020900064060032</t>
  </si>
  <si>
    <t>29/06/2564</t>
  </si>
  <si>
    <t>เล่มที่ 1103 
เลขที่ 32</t>
  </si>
  <si>
    <t>RV00020900064060113</t>
  </si>
  <si>
    <t>เครือข่ายอุดมศึกษา
ภาคใต้ตอนล่าง</t>
  </si>
  <si>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สำหรับเด็กศึกษา 
(พระบาทสมเด็จพระปรมินทรภูมิพล- อดุลยเดช 
รัชกาลที่ 9) ในจังหวัดสงขลาและพัทลุง งวดที่ 1 
</t>
    </r>
    <r>
      <rPr>
        <b/>
        <sz val="13"/>
        <color theme="1"/>
        <rFont val="Cordia New"/>
        <family val="2"/>
      </rPr>
      <t>วงเงินทั้งสิน 550,000 บาท</t>
    </r>
  </si>
  <si>
    <t>เล่มที่ 1103 
เลขที่ 33</t>
  </si>
  <si>
    <t>RV00020900064060115</t>
  </si>
  <si>
    <t>คณะเศรษฐศาสตร์และ
บริหารธุรกิจ</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</si>
  <si>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กระบวนการเพิ่มมูลค่านา
อินทรีย์: น้ำผึ้งดอกข้าวและน้ำผึ้งโพรงของ
เครือข่ายชาวนาและเยาวชนนาอินทรีย์ 
บ้านละหา อำเภอแว้ง จังหวัดนราธิวาส </t>
    </r>
    <r>
      <rPr>
        <b/>
        <sz val="13"/>
        <color theme="1"/>
        <rFont val="Cordia New"/>
        <family val="2"/>
      </rPr>
      <t>งบประมาณทั้งสิ้น 352,100 บาท</t>
    </r>
  </si>
  <si>
    <t>06/07/2564</t>
  </si>
  <si>
    <t>PR2-2564:15/41</t>
  </si>
  <si>
    <t>RV00020900064070082</t>
  </si>
  <si>
    <t>ผศ.ดร.แจ่มจันทร์ เพชรศิริ</t>
  </si>
  <si>
    <t>บริษัท เซาท์เทอร์น ซีฟูด 
โปรดักส์ จำกัด</t>
  </si>
  <si>
    <r>
      <t xml:space="preserve">กรณีรับทุนวิจัยจากกองทุนวิจัยมหาวิทยาลัย
ทักษิณ ประจำปีงบประมาณ2564 แต่ร่วมทุน
กับบริษัทภายนอก ประเภททุนต่อยอดงานวิจัย
และนวัตกรรมในเชิงพาณิชย์ เรื่อง อาหารปลา
สำเร็จรูปโปรตีนสูงจากเศษเหลือจากการแปร
รูปปลาทะเล 
</t>
    </r>
    <r>
      <rPr>
        <b/>
        <sz val="13"/>
        <color rgb="FFFF0000"/>
        <rFont val="Cordia New"/>
        <family val="2"/>
      </rPr>
      <t>(กรณีร่วมทุนจากภายนอกจะไม่มีการหักค่าธรรมเนียมวิจัย)</t>
    </r>
  </si>
  <si>
    <t>19/08/2564</t>
  </si>
  <si>
    <t>เล่มที่ 1108
เลขที่ 26</t>
  </si>
  <si>
    <t>RV00020900064080110</t>
  </si>
  <si>
    <t>นางสาวศิรดา นวลประดิษฐ์</t>
  </si>
  <si>
    <t>สำนักงานปลัดกระทรวง
อุดมศึกษาวิทยาศาสตร์ 
วิจัยและนวัตกรรม</t>
  </si>
  <si>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t>
    </r>
    <r>
      <rPr>
        <b/>
        <sz val="13"/>
        <color theme="1"/>
        <rFont val="Cordia New"/>
        <family val="2"/>
      </rPr>
      <t>งบประมาณทั้งสิ้น 600,000.00 บาท</t>
    </r>
    <r>
      <rPr>
        <sz val="13"/>
        <color theme="1"/>
        <rFont val="Cordia New"/>
        <family val="2"/>
      </rPr>
      <t xml:space="preserve"> </t>
    </r>
  </si>
  <si>
    <t>30/08/2564</t>
  </si>
  <si>
    <t>PR2-2564:18/15</t>
  </si>
  <si>
    <t>RV00020900064080192</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</si>
  <si>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2564 
โดยวิธีเฉพาะเจาะจง งวดที่ 2
</t>
    </r>
    <r>
      <rPr>
        <b/>
        <sz val="13"/>
        <color theme="1"/>
        <rFont val="Cordia New"/>
        <family val="2"/>
      </rPr>
      <t>วงเงินทั้งสิ้น 1,500,000 บาท</t>
    </r>
  </si>
  <si>
    <t>PR2-2564:18/16</t>
  </si>
  <si>
    <t>RV00020900064080193</t>
  </si>
  <si>
    <t>ผศ.ดร.ทวนธง ครฑจ้อน</t>
  </si>
  <si>
    <t>สำนักงานปลัดกระทรวงการอุดมศึกษา วิทยาศาสตร์ วิจัยและนวัตกรรม</t>
  </si>
  <si>
    <r>
      <t xml:space="preserve">บันทึกข้อตกลงความร่วมมือโครงการส่งเสริม
การเลี้ยงปศุสัตว์ภาคใต้ชายแดน (การใช้เทคโนโลยีและนวัตกรรมยกระดับมาตรฐาน
การผลิตและพัฒนาศักยภาพการพัฒนาผลิตภัณฑ์ปศุสัตว์สู่เชิงพาณิชย์ ประจำปีงบประมาณ 2564 
</t>
    </r>
    <r>
      <rPr>
        <b/>
        <sz val="13"/>
        <color theme="1"/>
        <rFont val="Cordia New"/>
        <family val="2"/>
      </rPr>
      <t xml:space="preserve">วงเงินตามสัญญา 1,210,100 บาท </t>
    </r>
  </si>
  <si>
    <t>16/09/2564</t>
  </si>
  <si>
    <t>PL2-2564:4/33</t>
  </si>
  <si>
    <t>RV00020900064090129</t>
  </si>
  <si>
    <t>28/09/2564</t>
  </si>
  <si>
    <t>PL2-2564:4/36</t>
  </si>
  <si>
    <t>RV00020900064090275</t>
  </si>
  <si>
    <t>29/09/2564</t>
  </si>
  <si>
    <t>30/09/2564</t>
  </si>
  <si>
    <t>PR2-2564:21/29</t>
  </si>
  <si>
    <t>RV00020900064090287</t>
  </si>
  <si>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งวดที่ 3
</t>
    </r>
    <r>
      <rPr>
        <b/>
        <sz val="13"/>
        <color theme="1"/>
        <rFont val="Cordia New"/>
        <family val="2"/>
      </rPr>
      <t xml:space="preserve">วงเงินทั้งสิ้น 1,500,000 บาท </t>
    </r>
  </si>
  <si>
    <t>PR2-2564:22/33</t>
  </si>
  <si>
    <t>RV00020900064090351</t>
  </si>
  <si>
    <t>สำนักงานคณะกรรมการ
ส่งเสริมวิทยาศาสตร์ วิจัย
และนวัตกรรม (สกสว.)</t>
  </si>
  <si>
    <t xml:space="preserve">เงินงวดพิเศษ ก . ตามสัญญาเลขที่ 
RDG5610014 เรื่อง การเคลื่อนย้ายแรงงาน
ไทยระดับทักษะสูงจากจังหวัดชายแดน
ภาคใต้ไปประเทศมาเลเซีย </t>
  </si>
  <si>
    <t>PR2-2564:22/34</t>
  </si>
  <si>
    <t>RV00020900064090353</t>
  </si>
  <si>
    <t>อ.ดร.เสาวรส ยิ่งวรรณะ</t>
  </si>
  <si>
    <t xml:space="preserve">เงินงวดพิเศษ ก . ตามสัญญาเลขที่ 
RDG6240039 เรื่อง การพัฒนาความสามารถ
ของครูในการประเมินเพื่อพัฒนาทักษะใน
ศตวรรษที่ 21 ของนักเรียน </t>
  </si>
  <si>
    <t>รายได้ค้างรับ</t>
  </si>
  <si>
    <t>JV00020900064090207</t>
  </si>
  <si>
    <t>องค์กรปกครองส่วนท้องถิ่น
จำนวน 115 หน่วยงาน</t>
  </si>
  <si>
    <t>JV00020900064090208</t>
  </si>
  <si>
    <t xml:space="preserve">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พ.ศ.2564 </t>
  </si>
  <si>
    <t>JV00020900064090210</t>
  </si>
  <si>
    <t>ผศ.เจษฎา ทองขาว</t>
  </si>
  <si>
    <t>กรมคุ้มครองสิทธิและ
เสรีภาพ กระทรวงยุติธรรม</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</si>
  <si>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สำหรับค่าจ้างล่วงหน้า
</t>
    </r>
    <r>
      <rPr>
        <b/>
        <sz val="13"/>
        <color theme="1"/>
        <rFont val="Cordia New"/>
        <family val="2"/>
      </rPr>
      <t xml:space="preserve">งบประมาณทั้งสิ้น 499,444 บาท </t>
    </r>
  </si>
  <si>
    <t>JV00020900064090211</t>
  </si>
  <si>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1
</t>
    </r>
    <r>
      <rPr>
        <b/>
        <sz val="13"/>
        <color theme="1"/>
        <rFont val="Cordia New"/>
        <family val="2"/>
      </rPr>
      <t xml:space="preserve">งบประมาณทั้งสิ้น 499,444 บาท </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</si>
  <si>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สำหรับโครงการพัฒนาศักยภาพการรับรู้
ด้านการจัดการศึกษาของสถาบันการอาชีวศึกษาภาคใต้ 3 เพื่อรองรับการพัฒนาพื้นที่ระเบียงเศรษฐกิจภาคใต้อย่างยั่งยืน โครงการย่อย : งานวิจัยและพัฒนาหลักสูตรปริญญาตรี สาขาการจัดการโลจิสติกส์ </t>
  </si>
  <si>
    <t xml:space="preserve">สำนักงานการวิจัยแห่งชาติ (วช.) </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</si>
  <si>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งานวิจัยเรื่อง กระบวนการเพิ่มมูลค่านา
อินทรีย์: น้ำผึ้งดอกข้าวและน้ำผึ้งโพรงของเครือข่ายชาวนาและเยาวชนนาอินทรีย์ 
บ้านละหา อำเภอแว้ง จังหวัดนราธิวาส งบประมาณทั้งสิ้น 352,100 บาท </t>
  </si>
  <si>
    <t>12/11/2563</t>
  </si>
  <si>
    <t>PR2-2564:3/30</t>
  </si>
  <si>
    <t>RV00020900064110053</t>
  </si>
  <si>
    <t>อาจารย์ ดร.การะเกด แก้วใหญ่</t>
  </si>
  <si>
    <t>สำนักงานพัฒนา
วิทยาศาสตร์และเทคโนโลยี
แห่งชาติ (สวทช.)</t>
  </si>
  <si>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1
</t>
    </r>
    <r>
      <rPr>
        <b/>
        <sz val="13"/>
        <color theme="1"/>
        <rFont val="Cordia New"/>
        <family val="2"/>
      </rPr>
      <t xml:space="preserve">งบประมาณทั้งสิ้น 250,000.00 บาท </t>
    </r>
    <r>
      <rPr>
        <sz val="13"/>
        <color theme="1"/>
        <rFont val="Cordia New"/>
        <family val="2"/>
      </rPr>
      <t xml:space="preserve">
(งบบริหารจัดการจำนวนเงิน 30,000 บ.)</t>
    </r>
  </si>
  <si>
    <t>18/11/2563</t>
  </si>
  <si>
    <t>PR2-2564:3/35</t>
  </si>
  <si>
    <t>RV00020900064110096</t>
  </si>
  <si>
    <t>นางสาวเบ็ญจวรรณ บัวขวัญ</t>
  </si>
  <si>
    <t>สำนักส่งเสริมการบริการวิชาการและภูมิปัญญา
ชุมชน</t>
  </si>
  <si>
    <t>กรมการแพทย์แผนไทย
และการแพทย์ทางเลือก 
กระทรวงสาธารณสุข</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</si>
  <si>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ตามสัญญาเลขที่ 
กภท.10/2563 โครงการสำรวจ ทำสำเนาดิจิทัล 
และปริวัตรเอกสารโบราณตำรับยาและตำรา
การแพทย์แผนไทย กลุ่มจังหวัดภาคใต้ ปีที่ 1 
</t>
    </r>
    <r>
      <rPr>
        <b/>
        <sz val="13"/>
        <color theme="1"/>
        <rFont val="Cordia New"/>
        <family val="2"/>
      </rPr>
      <t>ทุนวิจัยทั้งหมด 1,504,492.00 บาท</t>
    </r>
  </si>
  <si>
    <t>26/11/2563</t>
  </si>
  <si>
    <t>PR2-2564:4/18</t>
  </si>
  <si>
    <t>RV00020900064110162</t>
  </si>
  <si>
    <t>อาจารย์นิดา นุ้ยเด็น</t>
  </si>
  <si>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สนับสนุนงานวิจัยเรื่อง ผลของน้ำมันระเหย
บางชนิดในประเทศไทยที่มีผลต่อสรีรวิทยา
และอารมณ์ความรู้สึก งวดสุดท้าย
</t>
    </r>
    <r>
      <rPr>
        <b/>
        <sz val="13"/>
        <color theme="1"/>
        <rFont val="Cordia New"/>
        <family val="2"/>
      </rPr>
      <t xml:space="preserve">งบประมาณทั้งสิ้น 400,000 บาท </t>
    </r>
  </si>
  <si>
    <t>08/12/2563</t>
  </si>
  <si>
    <t>PR2-2564:5/11</t>
  </si>
  <si>
    <t>RV00020900064120077</t>
  </si>
  <si>
    <t>สำนักงานการวิจัยแห่งชาติ</t>
  </si>
  <si>
    <r>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2
</t>
    </r>
    <r>
      <rPr>
        <b/>
        <sz val="13"/>
        <color theme="1"/>
        <rFont val="Cordia New"/>
        <family val="2"/>
      </rPr>
      <t xml:space="preserve">งบประมาณทั้งสิ้น 490,000.00 บาท </t>
    </r>
  </si>
  <si>
    <t>PR2-2564:5/25</t>
  </si>
  <si>
    <t>RV00020900064120103</t>
  </si>
  <si>
    <t>ทุนอุดหนุนดำเนินการวิจัยเรื่อง The effect of 
high levels of supplementation in diet on 
growth performance and feed utilization of 
Nile tilapia งวดที่ 3</t>
  </si>
  <si>
    <t>PR2-2564:6/12</t>
  </si>
  <si>
    <t>RV00020900064120248</t>
  </si>
  <si>
    <t xml:space="preserve">อาจารย์ ดร.ธวัชชัย คังฆะมะโณ </t>
  </si>
  <si>
    <t>สำนักงานพัฒนา
วิทยาศาสตร์และ
เทคโนโลยีแห่งชาติ</t>
  </si>
  <si>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t>
    </r>
    <r>
      <rPr>
        <b/>
        <sz val="13"/>
        <color theme="1"/>
        <rFont val="Cordia New"/>
        <family val="2"/>
      </rPr>
      <t>วงเงินตามสัญญา 250,000 บาท</t>
    </r>
    <r>
      <rPr>
        <sz val="13"/>
        <color theme="1"/>
        <rFont val="Cordia New"/>
        <family val="2"/>
      </rPr>
      <t xml:space="preserve">  งวดที่ 1</t>
    </r>
  </si>
  <si>
    <t>04/01/2564</t>
  </si>
  <si>
    <t>PR2-2564:6/16</t>
  </si>
  <si>
    <t>RV00020900064010008</t>
  </si>
  <si>
    <t xml:space="preserve">ผศ.ดร.สมพงศ์ โอทอง </t>
  </si>
  <si>
    <t xml:space="preserve">เงินงวดพิเศษ ก . ตามสัญญาเลขที่ 
RDG6050069 เรื่อง การพัฒนาระบบก๊าซ
ชีวภาพจากน้ำทิ้งโรงงานสกัดน้ำมันปาล์มดิบ
แบบสองขั้นตอนด้วยถังปฏิกรณ์สองชั้น </t>
  </si>
  <si>
    <t>23/02/2564</t>
  </si>
  <si>
    <t>PR2-2564:10/12</t>
  </si>
  <si>
    <t>RV00020900064020180</t>
  </si>
  <si>
    <t>สำนักงานวิจัยแห่งชาติ (วช.)</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</si>
  <si>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1
</t>
    </r>
    <r>
      <rPr>
        <b/>
        <sz val="13"/>
        <color theme="1"/>
        <rFont val="Cordia New"/>
        <family val="2"/>
      </rPr>
      <t>วงเงินทั้งสิ้น 550,000 บาท</t>
    </r>
    <r>
      <rPr>
        <sz val="13"/>
        <color theme="1"/>
        <rFont val="Cordia New"/>
        <family val="2"/>
      </rPr>
      <t xml:space="preserve"> </t>
    </r>
  </si>
  <si>
    <t>25/02/2564</t>
  </si>
  <si>
    <t>PR2-2564:10/23</t>
  </si>
  <si>
    <t>RV00020900064020206</t>
  </si>
  <si>
    <t>ผศ.ดร.พีรนาฎ คิดดี</t>
  </si>
  <si>
    <t>สถาบันวิจัยและพัฒนา (ภายใต้การบริหารงานของสถาบันวิจัย)</t>
  </si>
  <si>
    <t xml:space="preserve">กองทุนพัฒนาไฟฟ้า (กกพ.) 
สำนักงานคณะกรรมการ
กำกับกิจการพลังงาน </t>
  </si>
  <si>
    <r>
      <t xml:space="preserve">ทุนอุดหนุนการทำโครงการเพื่อการส่งเสริม
สังคมและประชาชนให้มีความรู้ ความตระหนัก 
และมีส่วนร่วมทางด้านไฟฟ้า ประจำปี
งบประมาณ 2563 ภายใต้กิจกรรม นวัตกรรมพลังงานไฟฟ้าจากขยะ งวดที่ 1
</t>
    </r>
    <r>
      <rPr>
        <b/>
        <sz val="13"/>
        <color theme="1"/>
        <rFont val="Cordia New"/>
        <family val="2"/>
      </rPr>
      <t>วงเงินงบประมาณทั้งสิ้น 1,600,000 บาท</t>
    </r>
    <r>
      <rPr>
        <sz val="13"/>
        <color theme="1"/>
        <rFont val="Cordia New"/>
        <family val="2"/>
      </rPr>
      <t xml:space="preserve"> </t>
    </r>
  </si>
  <si>
    <t>PR2-2564:10/22</t>
  </si>
  <si>
    <t>RV00020900064020207</t>
  </si>
  <si>
    <t>อ.ดร.วิศาล อดทน</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</si>
  <si>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1 
</t>
    </r>
    <r>
      <rPr>
        <b/>
        <sz val="13"/>
        <color theme="1"/>
        <rFont val="Cordia New"/>
        <family val="2"/>
      </rPr>
      <t>วงเงินงบประมาณทั้งสิ้น 650,000 บาท</t>
    </r>
  </si>
  <si>
    <t>PR2-2564:12/16</t>
  </si>
  <si>
    <t>RV00020900064030152</t>
  </si>
  <si>
    <t>ผศ.ดร.ประสงค์ เกษราธิคุณ</t>
  </si>
  <si>
    <t>สถาบันเทคโนโลยีนิวเคลียร์
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</si>
  <si>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โครงการวิจัยชื่อการตรวจวัดและประเมิน
ค่ากัมมันตภาพจำเพาะของสารกัมมันตรังสี
ธรรมชาติและที่มนุษย์สร้างขึ้นในดินนาข้าว
และข้าวสังข์หยดอินทรีย์ที่ปลูกในตำบลดอน
ประดู่ อำเภอปากพะยูน จังหวัดพัทลุง งวดที่ 1
</t>
    </r>
    <r>
      <rPr>
        <b/>
        <sz val="13"/>
        <color theme="1"/>
        <rFont val="Cordia New"/>
        <family val="2"/>
      </rPr>
      <t>วงเงินงบประมาณทั้งสิ้น 50,000 บาท</t>
    </r>
    <r>
      <rPr>
        <sz val="13"/>
        <color theme="1"/>
        <rFont val="Cordia New"/>
        <family val="2"/>
      </rPr>
      <t xml:space="preserve"> </t>
    </r>
  </si>
  <si>
    <t>อ.ดร.พิมประภา ชัยจักร</t>
  </si>
  <si>
    <r>
      <t xml:space="preserve">สัญญารับงบประมาณสนับสนุนความร่วมมือ
วิจัยภายใต้โครงการ TINI to University : 
โครงการวิจัยชื่อการพัฒนากลุ่มจุลินทรีย์ทน
รังสีแกมมาเพื่อการประยุกต์ใช้ในการบำบัด
น้ำเสียจากโรงพยาบาล งวดที่ 1
</t>
    </r>
    <r>
      <rPr>
        <b/>
        <sz val="13"/>
        <color theme="1"/>
        <rFont val="Cordia New"/>
        <family val="2"/>
      </rPr>
      <t xml:space="preserve">วงเงินงบประมาณทั้งสิ้น 50,000 บาท </t>
    </r>
  </si>
  <si>
    <t>19/03/2564</t>
  </si>
  <si>
    <t>PR2-2564:12/34</t>
  </si>
  <si>
    <t>RV00020900064030180</t>
  </si>
  <si>
    <t>ผศ.ดร.อุไรวรรณ ทองแกมแก้ว</t>
  </si>
  <si>
    <t>คณะเทคโนโลยีและการพัฒนาชุมชน</t>
  </si>
  <si>
    <t>สำนักงานพัฒนา
การวิจัยการเกษตร
(องค์การมหาชน)</t>
  </si>
  <si>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3
วงเงินทั้งโครงการ 2,300,000.00 บาท </t>
  </si>
  <si>
    <t>หักครบถ้วน
แล้วใน
งวดที่ 1</t>
  </si>
  <si>
    <t>PR2-2564:13/8</t>
  </si>
  <si>
    <t>RV00020900064030270</t>
  </si>
  <si>
    <t>อ.ดร.สุวิมล จุงจิตร์</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</si>
  <si>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3
</t>
    </r>
    <r>
      <rPr>
        <b/>
        <sz val="13"/>
        <color theme="1"/>
        <rFont val="Cordia New"/>
        <family val="2"/>
      </rPr>
      <t>งบประมาณทั้งสิ้น 490,000.00 บาท</t>
    </r>
  </si>
  <si>
    <t>08/04/2564</t>
  </si>
  <si>
    <t>PR2-2564:13/42</t>
  </si>
  <si>
    <t>RV00020900064040068</t>
  </si>
  <si>
    <t>อ.ดร.ตั้ม บุญรอด</t>
  </si>
  <si>
    <t xml:space="preserve">สำนักงานการวิจัยแห่งชาติ </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</si>
  <si>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วงเงินงบประมาณทั้งสิ้น 671,000 บาท</t>
    </r>
    <r>
      <rPr>
        <sz val="13"/>
        <color theme="1"/>
        <rFont val="Cordia New"/>
        <family val="2"/>
      </rPr>
      <t xml:space="preserve"> </t>
    </r>
  </si>
  <si>
    <t>PR2-2564:13/43</t>
  </si>
  <si>
    <t>RV00020900064040069</t>
  </si>
  <si>
    <t>อ.ดร.สุธาสินี บุญญาพิทักษ์</t>
  </si>
  <si>
    <t>ดำเนินการภายใต้
สถาบันวิจัยและพัฒนา 
เนื่องจาก รศ.ดร.ณฐพงศ์ 
จิตรนิรัตน์ รองอธิการบดี
ฝ่ายการวิจัยและบริการ
วิชาการ ทำหน้าที่หัวหน้า
ชุดงานวิจัย</t>
  </si>
  <si>
    <t xml:space="preserve">สถาบันส่งเสริมการสอน
วิทยาศาสตร์และเทคโนโลยี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</si>
  <si>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1 นวัตกรรมโรงเรียนประกอบการเพื่อพัฒนาพื้นที่การเรียนรู้ต้นแบบ </t>
  </si>
  <si>
    <t>อ.ดร.ศิลป์ชัย สุวรรณมณี</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</si>
  <si>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2 การขับเคลื่อนหลักสูตรฐานสมรรถนะ
ด้านวิทยาศาสตร์ คณิตศาสตร์ และเทคโนโลยี
ที่บูรณาการกับศักยภาพเชิงพื้นที่ของ
สถานศึกษาต้นแบบและการขยายผลสู่
สถานศึกษาเครือข่ายในพื้นที่นวัตกรรม
การศึกษานำร่อง จ.สตูลและจังหวัดชายแดนใต้ </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</si>
  <si>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3 การพัฒนาสมรรถนะครูในศตวรรษที่ 21 
โดยใช้ Project14 เพื่อลดความเหลื่อมล้ำของ
เยาวชนให้มีวิถีชีวิตตามปรัชญาเศรษฐกิจ
พอเพียง พื้นที่เกาะ จังหวัดสตูล </t>
  </si>
  <si>
    <t>ผศ.ดร.ธัญญา พันธุ์ฤทธิ์ดำ</t>
  </si>
  <si>
    <t xml:space="preserve">งบบริหารจัดการชุดโครงการวิจัย : 
เพิ่มศักยภาพครูให้มีสมรรถนะของครูยุคใหม่
สำหรับการเรียนรู้ศตวรรษที่ 21 : โครงการวิจัย
ย่อย 4 การอบรมปฏิบัติการ GLOBE Academy
Train the trainer ในพื้นที่นวัตกรรมการศึกษา 
จ.สตูล และจังหวัดชายแดนใต้ </t>
  </si>
  <si>
    <t>22/04/2564</t>
  </si>
  <si>
    <t>เล่มที่ 1017 เลขที่ 33</t>
  </si>
  <si>
    <t>RV00020900064040144</t>
  </si>
  <si>
    <t>สำนักงานกองทุนเพื่อ
ความเสมอภาคทาง
การศึกษา</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</si>
  <si>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ของเงินสนับสนุน
โครงการวิจัยเรื่อง ธนาคารแพะเนื้อแบบ
เลี้ยงหวะ (สัญญาเลที่ 63-0421 รหัสโครงการ 
63-071-00286)
</t>
    </r>
    <r>
      <rPr>
        <b/>
        <sz val="13"/>
        <color theme="1"/>
        <rFont val="Cordia New"/>
        <family val="2"/>
      </rPr>
      <t>วงเงินงบประมาณทั้งสิ้น 613,200 บาท</t>
    </r>
    <r>
      <rPr>
        <sz val="13"/>
        <color theme="1"/>
        <rFont val="Cordia New"/>
        <family val="2"/>
      </rPr>
      <t xml:space="preserve"> </t>
    </r>
  </si>
  <si>
    <t>เล่มที่ 1103 
เลขที่ 35</t>
  </si>
  <si>
    <t>RV00020900064060112</t>
  </si>
  <si>
    <r>
      <t xml:space="preserve">สัญญารับทุนอุดหนุนการวิจัยและนวัตกรรม 
สัญญาเลขที่ วช.อว.(อ)(ภอ)/32/2564 สำหรับ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1
</t>
    </r>
    <r>
      <rPr>
        <b/>
        <sz val="13"/>
        <color theme="1"/>
        <rFont val="Cordia New"/>
        <family val="2"/>
      </rPr>
      <t xml:space="preserve">วงเงินงบประมาณทั้งสิ้น 671,000 บาท </t>
    </r>
  </si>
  <si>
    <t>เล่มที่ 1103 
เลขที่ 34</t>
  </si>
  <si>
    <t>RV00020900064060114</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</si>
  <si>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
ความรู้สึก 
</t>
    </r>
    <r>
      <rPr>
        <b/>
        <sz val="13"/>
        <color theme="1"/>
        <rFont val="Cordia New"/>
        <family val="2"/>
      </rPr>
      <t>งบประมาณทั้งสิ้น 400,000 บาท</t>
    </r>
  </si>
  <si>
    <t>09/07/2564</t>
  </si>
  <si>
    <t>PR2-2564:15/47</t>
  </si>
  <si>
    <t>RV00020900064070092</t>
  </si>
  <si>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โดยวิธีเฉพาะเจาะจง งวดที่ 1
วงเงินทั้งสิ้น 1,500,000 บาท </t>
  </si>
  <si>
    <t>นายศรชัย อินทะไชย</t>
  </si>
  <si>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1
</t>
    </r>
    <r>
      <rPr>
        <b/>
        <sz val="13"/>
        <color theme="1"/>
        <rFont val="Cordia New"/>
        <family val="2"/>
      </rPr>
      <t>งบประมาณทั้งสิ้น 600,000.00 บาท</t>
    </r>
    <r>
      <rPr>
        <sz val="13"/>
        <color theme="1"/>
        <rFont val="Cordia New"/>
        <family val="2"/>
      </rPr>
      <t xml:space="preserve"> </t>
    </r>
  </si>
  <si>
    <t>นายนเรศ ฉิมเรศ</t>
  </si>
  <si>
    <t>คณะวิศวกรรมศาสตร์</t>
  </si>
  <si>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t>
    </r>
    <r>
      <rPr>
        <b/>
        <sz val="13"/>
        <color theme="1"/>
        <rFont val="Cordia New"/>
        <family val="2"/>
      </rPr>
      <t>งบประมาณทั้งสิ้น 582,000.00 บาท</t>
    </r>
    <r>
      <rPr>
        <sz val="13"/>
        <color theme="1"/>
        <rFont val="Cordia New"/>
        <family val="2"/>
      </rPr>
      <t xml:space="preserve"> </t>
    </r>
  </si>
  <si>
    <t>20/08/2564</t>
  </si>
  <si>
    <t>PR2-2564:17/40</t>
  </si>
  <si>
    <t>RV00020900064080155</t>
  </si>
  <si>
    <t>ดร.ภูมิน นุตรทัต</t>
  </si>
  <si>
    <t>สำนักงานสภานโยบาย
การอุดมศึกษา
 วิทยาศาสตร์ วิจัยและ
นวัตกรรมแห่งชาติ</t>
  </si>
  <si>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1 </t>
    </r>
    <r>
      <rPr>
        <b/>
        <sz val="13"/>
        <color theme="1"/>
        <rFont val="Cordia New"/>
        <family val="2"/>
      </rPr>
      <t xml:space="preserve">งบประมาณทั้งสิ้น 2,617,913 บาท </t>
    </r>
  </si>
  <si>
    <t>06/09/2564</t>
  </si>
  <si>
    <t>PR2-2564:19/2</t>
  </si>
  <si>
    <t>RV00020900064090055</t>
  </si>
  <si>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2
</t>
    </r>
    <r>
      <rPr>
        <b/>
        <sz val="13"/>
        <color theme="1"/>
        <rFont val="Cordia New"/>
        <family val="2"/>
      </rPr>
      <t>วงเงินทั้งสิ้น 550,000 บาท</t>
    </r>
  </si>
  <si>
    <t>PR2-2564:19/1</t>
  </si>
  <si>
    <t>RV00020900064090056</t>
  </si>
  <si>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งวดที่ 2
</t>
    </r>
    <r>
      <rPr>
        <b/>
        <sz val="13"/>
        <color theme="1"/>
        <rFont val="Cordia New"/>
        <family val="2"/>
      </rPr>
      <t xml:space="preserve">วงเงินทั้งสิ้น 650,000 บาท </t>
    </r>
  </si>
  <si>
    <t>17/09/2564</t>
  </si>
  <si>
    <t>PR2-2564:19/44</t>
  </si>
  <si>
    <t>RV00020900064090136</t>
  </si>
  <si>
    <r>
      <t xml:space="preserve">ตามสัญญาเลขที่ PRP6305031490 สัญญา
รับทุนอุดหนุนโครงการวิจัยการเกษตร เรื่อง 
การยกระดับคุณภาพและการเพิ่มมูลค่า
ข้าวสังข์หยดพัทลุงด้วยนวัตกรรม งวดที่ 4
</t>
    </r>
    <r>
      <rPr>
        <b/>
        <sz val="13"/>
        <color theme="1"/>
        <rFont val="Cordia New"/>
        <family val="2"/>
      </rPr>
      <t>วงเงินทั้งโครงการ 2,300,000.00 บาท</t>
    </r>
    <r>
      <rPr>
        <sz val="13"/>
        <color theme="1"/>
        <rFont val="Cordia New"/>
        <family val="2"/>
      </rPr>
      <t xml:space="preserve"> </t>
    </r>
  </si>
  <si>
    <t>หักครบถ้วน
แล้วใน
งวดที่ 2-3</t>
  </si>
  <si>
    <t>PR2-2564:21/12</t>
  </si>
  <si>
    <t>RV00020900064090252</t>
  </si>
  <si>
    <t>รศ.ดร.สมัคร แก้วสุกแสง</t>
  </si>
  <si>
    <t>ดำเนินการภายใต้สถาบันวิจัยและพัฒนา เนื่องจาก รศ.ดร.สมัคร 
แก้วสุกแสง รักษาการแทน
ผู้อำนวยการสถาบันวิจัย
และพัฒนา ทำหน้าที่หัวหน้า
ชุดงานวิจัย</t>
  </si>
  <si>
    <t>สำนักงานสภานโยบายการอุดมศึกษา วิทยาศาสตร์ วิจัยและนวัตกรรมแห่งชาติ</t>
  </si>
  <si>
    <r>
      <t xml:space="preserve">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งวดที่ 2 
</t>
    </r>
    <r>
      <rPr>
        <b/>
        <sz val="13"/>
        <color theme="1"/>
        <rFont val="Cordia New"/>
        <family val="2"/>
      </rPr>
      <t xml:space="preserve">งบประมาณทั้งสิ้น 7,700,000 บาท </t>
    </r>
    <r>
      <rPr>
        <sz val="13"/>
        <color theme="1"/>
        <rFont val="Cordia New"/>
        <family val="2"/>
      </rPr>
      <t xml:space="preserve">
</t>
    </r>
    <r>
      <rPr>
        <b/>
        <sz val="13"/>
        <color rgb="FFFF0000"/>
        <rFont val="Cordia New"/>
        <family val="2"/>
      </rPr>
      <t>หมายเหตุ : งวดที่ 1 = 2,364,000 บาท ไม่ได้นำส่งมหาวิทยาลัย</t>
    </r>
  </si>
  <si>
    <t>หักส่งในงวดสุดท้าย</t>
  </si>
  <si>
    <t>PR2-2564:21/30</t>
  </si>
  <si>
    <t>RV00020900064090285</t>
  </si>
  <si>
    <r>
      <t xml:space="preserve">ทุนอุดหนุนดำเนินการวิจัยแผนงานวิจัยเรื่อง 
การส่งเสริมศักยภาพด้านการบริการท่องเที่ยว
เชิงชุมชนโดยใช้โปรแกรมสนทนาอัตโนมัติบน
มือถือ กรณีศึกษา พื้นที่ชุมชนตำบลลานข่อย 
อำเภอป่าพะยอม จังหวัดพัทลุง งวดที่ 4
</t>
    </r>
    <r>
      <rPr>
        <b/>
        <sz val="13"/>
        <color theme="1"/>
        <rFont val="Cordia New"/>
        <family val="2"/>
      </rPr>
      <t xml:space="preserve">งบประมาณทั้งสิ้น 490,000.00 บาท </t>
    </r>
  </si>
  <si>
    <t>PR2-2564:21/28</t>
  </si>
  <si>
    <t>RV00020900064090286</t>
  </si>
  <si>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 ต่อความมั่นคงทางอาหาร งวดที่4 
</t>
    </r>
    <r>
      <rPr>
        <b/>
        <sz val="13"/>
        <color theme="1"/>
        <rFont val="Cordia New"/>
        <family val="2"/>
      </rPr>
      <t xml:space="preserve">วงเงินงบประมาณทั้งสิ้น 671,000 บาท </t>
    </r>
  </si>
  <si>
    <t>PR2-2564:22/26</t>
  </si>
  <si>
    <t>RV00020900064090314</t>
  </si>
  <si>
    <t>สถาบันเทคโนโลยี
นิวเคลียร์แห่งชาติ 
(องค์การมหาชน)</t>
  </si>
  <si>
    <r>
      <t xml:space="preserve">สัญญารับงบประมาณสนับสนุนความร่วมมือ
วิจัยภายใต้โครงการ TINI to University : โครงการวิจัยชื่อการพัฒนากลุ่มจุลินทรีย์
ทนรังสีแกมมาเพื่อการประยุกต์ใช้ในการ
บำบัดน้ำเสียจากโรงพยาบาล งวดที่ 2
</t>
    </r>
    <r>
      <rPr>
        <b/>
        <sz val="13"/>
        <color theme="1"/>
        <rFont val="Cordia New"/>
        <family val="2"/>
      </rPr>
      <t>วงเงินงบประมาณทั้งสิ้น 50,000 บาท</t>
    </r>
  </si>
  <si>
    <t>เล่มที่ 1111 
เลขที่ 38</t>
  </si>
  <si>
    <t>RV00020900064090393</t>
  </si>
  <si>
    <t>อาจารย์บุญเรือง ขาวนวล</t>
  </si>
  <si>
    <t>สถาบันวิจัยระบบสาธารณสุข</t>
  </si>
  <si>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1 
</t>
    </r>
    <r>
      <rPr>
        <b/>
        <sz val="13"/>
        <color theme="1"/>
        <rFont val="Cordia New"/>
        <family val="2"/>
      </rPr>
      <t xml:space="preserve">งบประมาณทั้งสิ้น 681,978 บาท </t>
    </r>
  </si>
  <si>
    <t>เล่มที่ 1111 
เลขที่ 42</t>
  </si>
  <si>
    <t>RV00020900064090398</t>
  </si>
  <si>
    <t>ผศ.ดร.อุษา อ้นทอง</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</si>
  <si>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งวดที่ 2-4
</t>
    </r>
    <r>
      <rPr>
        <b/>
        <sz val="13"/>
        <color theme="1"/>
        <rFont val="Cordia New"/>
        <family val="2"/>
      </rPr>
      <t xml:space="preserve">งบประมาณทั้งสิ้น 450,000.00 บาท </t>
    </r>
  </si>
  <si>
    <t>JV00020900064090209</t>
  </si>
  <si>
    <r>
      <t xml:space="preserve">ทุนอุดหนุนดำเนินการวิจัยแผนงานวิจัย เรื่อง
การกำจัดน้ำล้างและเศษของเสียจากการ
ประมงปลาสามน้ำด้วยระบบหมักแบบไร้
อากาศและการประยุกต์ใช้น้ำหมักชีวภาพใน
การทำเกษตรอินทรีย์ต่อชุมชนลำปำ สำหรับ
รายการค่าธรรมเนียมธนาคาร
</t>
    </r>
    <r>
      <rPr>
        <b/>
        <sz val="13"/>
        <color theme="1"/>
        <rFont val="Cordia New"/>
        <family val="2"/>
      </rPr>
      <t xml:space="preserve">งบประมาณทั้งสิ้น 450,000.00 บาท </t>
    </r>
  </si>
  <si>
    <t>JV00020900064090212</t>
  </si>
  <si>
    <t>ศูนย์วิจัยทรัพยากรทาง
ทะเลและชายฝั่งอ่าวไทย
ตอนกลาง ชุมพร</t>
  </si>
  <si>
    <r>
      <t xml:space="preserve">ตามใบสั่งจ้างเลขที่ 464/2564 ตกลงจ้างเหมา
วิเคราะห์องค์ประกอบเลือด การเปลี่ยนแปลง
ทางเนื้อเยื่อวิทยา การติดเชื้อปรสิต และเชื้อ
แบคทีเรียของปูลม 
</t>
    </r>
    <r>
      <rPr>
        <b/>
        <sz val="13"/>
        <color theme="1"/>
        <rFont val="Cordia New"/>
        <family val="2"/>
      </rPr>
      <t>วงเงินงบประมาณทั้งสิ้น 120,000 บาท</t>
    </r>
  </si>
  <si>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โครงการสำรวจ ทำสำเนาดิจิทัล และปริวัตรเอกสารโบราณตำรับยาและตำราการแพทย์
แผนไทย กลุ่มจังหวัดภาคใต้ ปีที่ 1 ยอดอนุมัติเป็นทุนวิจัยทั้งหมด 1,504,492.00 บาท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</si>
  <si>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ผลของน้ำมันระเหยบางชนิดใน
ประเทศไทยที่มีผลต่อสรีรวิทยาและอารมณ์
ความรู้สึก งบประมาณทั้งสิ้น 400,000 บาท 
งวดที่ 2 (งวดสุดท้าย) เป็นเงิน 88,000.00 บาท</t>
  </si>
  <si>
    <t xml:space="preserve">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โครงการวิจัยเรื่อง ธนาคารแพะเนื้อแบบ
เลี้ยงหวะ วงเงินงบประมาณทั้งสิ้น 613,200 บ. </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</si>
  <si>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งานวิจัย เรื่อง ผลของน้ำมันระเหยบางชนิด
ในประเทศไทยที่มีผลต่อสรีรวิทยาและอารมณ์ความรู้สึก งบประมาณทั้งสิ้น 400,000 บาท 
เงินประกันผลงาน เป็นเงิน 20,000.00 บาท</t>
  </si>
  <si>
    <t>ปรับปรุงรายได้เพื่อการวิจัยจากแหล่งทุนภายนอกคู่กับค่าใช้จายทุนวิจัยภายนอก 
ตามหนังสือสถาบันวิจัยที่ อว8206.04/1753 
ลว.14/10/2564 เรื่องขอแจ้งข้อมูลการรับค่าธรรมเนียมอุดหนุนสถาบันของทุนวิจัยภายนอก ปีงบประมาณ 2564 
(ตามข้อเสนอแนะตรวจสอบภายใน) 
โครงการวิจัยและนวัตกรรมเพื่อแก้ไขปัญหาความยากจนอย่างเบ็ดเสร็จและแม่นยำในจังหวัดพัทลุง งวดที่ 1 = 2,364,000 บาท</t>
  </si>
  <si>
    <t>สำหรับปีงบประมาณ 2563  ระยะเวลาดำเนินการ 1  ตุลาคม 2562  สิ้นสุด 30 กันยายน 2563</t>
  </si>
  <si>
    <t>05/02/2563</t>
  </si>
  <si>
    <t>PR2-2563:2/47</t>
  </si>
  <si>
    <t>RV02050200363020016</t>
  </si>
  <si>
    <t>อ.ดร.เทพรัตน์ จันทพันธ์</t>
  </si>
  <si>
    <t xml:space="preserve">เงินสนับสนุนค่าธรรมเนียมอุดหนุนสถาบัน 
(งวดพิเศษ ก.) ตามสัญญาเลขที่ 
RDG57S0024 จากโครงการวิจัยเรื่อง 
กระบวนการสร้างสำนึกชาวนาอินทรีย์
เพื่อสร้างพลังในการขับเคลื่อนขบวนชาวนา
อินทรีย์ จ.พัทลุง </t>
  </si>
  <si>
    <t>04/10/2562</t>
  </si>
  <si>
    <t>PL2-2563:1/1</t>
  </si>
  <si>
    <t>RV02050200363100024</t>
  </si>
  <si>
    <t>องค์กรปกครองส่วนท้องถิ่น
จำนวน 48 หน่วยงาน</t>
  </si>
  <si>
    <t>21/10/2562</t>
  </si>
  <si>
    <t>PR2-2563:1/15</t>
  </si>
  <si>
    <t>RV02050200363100157</t>
  </si>
  <si>
    <t>PR2-2563:1/16</t>
  </si>
  <si>
    <t>RV02050200363100158</t>
  </si>
  <si>
    <t>อาจารย์ ดร.วราภรณ์ ทนงศักดิ์</t>
  </si>
  <si>
    <t>สำนักงานคณะกรรมการ
วิจัยแห่งชาติ (วช.)</t>
  </si>
  <si>
    <r>
      <t xml:space="preserve">ค่าธรรมเนียมการวิจัย ตามข้อตกลงของ
ผู้ให้ทุนภายใต้โครงการจัดการความรู้
การวิจัยเพื่อการใช้ประโยชน์ ประจำปี2561 (การจัดการความรู้การวิจัยเพื่อการใช้ประโยชน์เชิงนโยบายสาธารณะ) เรื่อง 
การพัฒนาหลักสูตรเพื่อการจัดทำระบบฐานข้อมูลชุมชนในการรับอุทกภัย  </t>
    </r>
    <r>
      <rPr>
        <b/>
        <sz val="13"/>
        <color theme="1"/>
        <rFont val="Cordia New"/>
        <family val="2"/>
      </rPr>
      <t>งบประมาณทั้งสิ้น 600,000.00 บาท</t>
    </r>
  </si>
  <si>
    <t>22/10/2562</t>
  </si>
  <si>
    <t>PR2-2563:1/17</t>
  </si>
  <si>
    <t>RV02050200363100171</t>
  </si>
  <si>
    <t>ตามสัญญาเลขที่ ซฟน.001/2562 
สัญญาจ้างดำเนินโครงการวิจัย เรื่อง 
มุมมองความสำเร็จของหลักสูตรดนตรี 
"Symphony Learning" ในการเสริมสร้าง
ศักยภาพการเรียนรู้ในกับเด็กและเยาวชน วงเงินตามสัญญา 600,000 บ. งวดที่ 3</t>
  </si>
  <si>
    <t>25/10/2562</t>
  </si>
  <si>
    <t>PL2-2563:1/2</t>
  </si>
  <si>
    <t>RV02050200363100178</t>
  </si>
  <si>
    <t>29/10/2562</t>
  </si>
  <si>
    <t>PL2-2563:1/3</t>
  </si>
  <si>
    <t>RV02050200363100224</t>
  </si>
  <si>
    <t>องค์กรปกครองส่วนท้องถิ่น
จำนวน 26 หน่วยงาน</t>
  </si>
  <si>
    <t>05/11/2562</t>
  </si>
  <si>
    <t>PL2-2563:1/4</t>
  </si>
  <si>
    <t>RV02050200363110034</t>
  </si>
  <si>
    <t>08/11/2562</t>
  </si>
  <si>
    <t>PR2-2563:1/35</t>
  </si>
  <si>
    <t>RV02050200363110149</t>
  </si>
  <si>
    <t xml:space="preserve">ตามสัญญาเลขที่ นว(ยธ)6/2561 
สัญญารับทุนอุดหนุนการวิจัย เรื่อง 
กระบวนการยุติธรรมเชิงสมานฉันท์เด็กและเยาวชนในจังหวัดชายแดนภาคใต้ งวดที่ 3
วงเงินตามสัญญา 1,100,000 บาท 
</t>
  </si>
  <si>
    <t>18/11/2562</t>
  </si>
  <si>
    <t>PL2-2563:1/6</t>
  </si>
  <si>
    <t>RV02050200363110248</t>
  </si>
  <si>
    <t>PL2-2563:1/7</t>
  </si>
  <si>
    <t>RV02050200363110249</t>
  </si>
  <si>
    <t>PL2-2563:1/5</t>
  </si>
  <si>
    <t>RV02050200363110250</t>
  </si>
  <si>
    <t>PL2-2563:1/8
PL1-2563:1/19</t>
  </si>
  <si>
    <t>RV02050200363110251</t>
  </si>
  <si>
    <t xml:space="preserve">ทุนอุดหนุนดำเนินการวิจัยแผนงานวิจัยเรื่อง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พ.ศ.2562 </t>
  </si>
  <si>
    <t>22/11/2562</t>
  </si>
  <si>
    <t>PR2-2563:1/41</t>
  </si>
  <si>
    <t>RV02050200363110297</t>
  </si>
  <si>
    <r>
      <t xml:space="preserve">อาจารย์ ดร.เปลี้อง สุวรรณมณี 
</t>
    </r>
    <r>
      <rPr>
        <b/>
        <u/>
        <sz val="13"/>
        <color theme="1"/>
        <rFont val="Cordia New"/>
        <family val="2"/>
      </rPr>
      <t xml:space="preserve">เปลี่ยนแปลงผู้ดูแลทุนวิจัยจากเดิม </t>
    </r>
    <r>
      <rPr>
        <sz val="13"/>
        <color theme="1"/>
        <rFont val="Cordia New"/>
        <family val="2"/>
      </rPr>
      <t xml:space="preserve">
อาจารย์ ดร.ทวีเดช ไชยนาพงษ์</t>
    </r>
  </si>
  <si>
    <t>สถาบันปฏิบัติการชุมชนเพื่อการศึกษาแบบ
บูรณาการ</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</si>
  <si>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คำนวณจาก
ยอดเงินสนับสนุนการวิจัยประจำปี 2559 
เรื่อง ผลิตภัณฑ์มูลค่าเพิ่มจากสวนผลไม้โดย
ใช้กรีนเทคโนโลยี กรณีศึกษาสวนผลไม้ชุมชน ตำบลหนองธง อ.ป่าบอน 
จังหวัดพัทลุง 
</t>
    </r>
    <r>
      <rPr>
        <b/>
        <sz val="13"/>
        <color theme="1"/>
        <rFont val="Cordia New"/>
        <family val="2"/>
      </rPr>
      <t xml:space="preserve">ทุนวิจัยรวม 2,000,000.00 บาท </t>
    </r>
    <r>
      <rPr>
        <sz val="13"/>
        <color theme="1"/>
        <rFont val="Cordia New"/>
        <family val="2"/>
      </rPr>
      <t xml:space="preserve">
</t>
    </r>
    <r>
      <rPr>
        <b/>
        <u/>
        <sz val="13"/>
        <color theme="1"/>
        <rFont val="Cordia New"/>
        <family val="2"/>
      </rPr>
      <t>(ซึ่งงวดที่ 4 ยอดรับ 190,000 บาท และ
เงินประกันผลงานเป็นเงิน 100,000 บ.)</t>
    </r>
    <r>
      <rPr>
        <b/>
        <sz val="13"/>
        <color theme="1"/>
        <rFont val="Cordia New"/>
        <family val="2"/>
      </rPr>
      <t xml:space="preserve"> </t>
    </r>
  </si>
  <si>
    <t>PL2-2563:1/9</t>
  </si>
  <si>
    <t>RV02050200363110298</t>
  </si>
  <si>
    <t>28/11/2562</t>
  </si>
  <si>
    <t>PR2-2563:1/50</t>
  </si>
  <si>
    <t>RV02050200363110357</t>
  </si>
  <si>
    <t>อาจารย์ ดร.ทวนธง ครุฑจ้อน</t>
  </si>
  <si>
    <r>
      <t xml:space="preserve">ตามสัญญาจ้างผู้เชี่ยวชาญรายบุคคลหรือ
จ้างบริษัทที่ปรึกษา เลขที่ 0004/2562 
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ส่วนจังหวัดภูเก็ตประจำปีงบประมาณ 2562 
</t>
    </r>
    <r>
      <rPr>
        <b/>
        <sz val="13"/>
        <color theme="1"/>
        <rFont val="Cordia New"/>
        <family val="2"/>
      </rPr>
      <t>วงเงินตามสัญญา 79,092.00 บาท</t>
    </r>
  </si>
  <si>
    <t>04/12/2562</t>
  </si>
  <si>
    <t>PL2-2563:1/10</t>
  </si>
  <si>
    <t>RV02050200363120021</t>
  </si>
  <si>
    <t>PL2-2563:1/11</t>
  </si>
  <si>
    <t>RV02050200363120022</t>
  </si>
  <si>
    <t>18/12/2562</t>
  </si>
  <si>
    <t>PL2-2563:1/12</t>
  </si>
  <si>
    <t>RV02050200363120165</t>
  </si>
  <si>
    <t>24/12/2562</t>
  </si>
  <si>
    <t>PR2-2563:2/19</t>
  </si>
  <si>
    <t>RV02050200363120212</t>
  </si>
  <si>
    <t>มูลนิธิคีนันแห่งเอเชีย</t>
  </si>
  <si>
    <t xml:space="preserve">เงินสนับสนุนเงินทุนเพื่อการจัดกิจกรรม
พัฒนาวิชาชีพครู ภายใต้โครงการ Thailand 
School Improvement Program (TSIP) 
ภายใต้โครงการพัฒนาเครือข่ายโรงเรียน
ต้นแบบเพื่อยกระดับคุณภาพงานวิชาการ 
งบประมาณทั้งสิ้น 300,000.00 บาท 
งวดที่ 1 </t>
  </si>
  <si>
    <t>26/12/2562</t>
  </si>
  <si>
    <t>PL2-2563:1/16</t>
  </si>
  <si>
    <t>RV02050200363120242</t>
  </si>
  <si>
    <t>06/01/2563</t>
  </si>
  <si>
    <t>PR2-2563:2/25</t>
  </si>
  <si>
    <t>RV02050200363010036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</si>
  <si>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2</t>
  </si>
  <si>
    <t>PR2-2563:2/26</t>
  </si>
  <si>
    <t>สัญญาเลขที่ พป106/2562 สัญญาจ้าง
ปฏิบัติงานศึกาวิจัยเรื่อง สิทธิและเสรีภาพ
ของประชาชนและชุมชนกับการปฏิบัติ
หน้าที่ของรัฐตามที่รัฐธรรมนูญกำหนด : 
บทเรียนเพื่อการพัฒนากลไกความร่วมมือ
ระหว่างภาครัฐกับประชาชาชนและชุมชน 
วงเงินทั้งสิ้น 180,000 บาท งวดที่ 3</t>
  </si>
  <si>
    <t>09/01/2563</t>
  </si>
  <si>
    <t>PL2-2563:1/17</t>
  </si>
  <si>
    <t>RV02050200363010102</t>
  </si>
  <si>
    <t>PL2-2563:1/18</t>
  </si>
  <si>
    <t>RV02050200363010103</t>
  </si>
  <si>
    <t>03/02/2563</t>
  </si>
  <si>
    <t>PR2-2563:2/44</t>
  </si>
  <si>
    <t>RV02050200363020005</t>
  </si>
  <si>
    <r>
      <t xml:space="preserve">ตามข้อตกลงดำเนินงานสร้างเสริมสุขภาพ 
เลขที่ 61-02029-0042 โครงการให้เหล้า
เท่ากับแช่ง : การสร้างสรรค์ การรับรู้ และ
สนองตอบของสื่อภาพยนต์รณรงค์งดดื่ม
สุรา งวดที่ 1 
</t>
    </r>
    <r>
      <rPr>
        <b/>
        <sz val="13"/>
        <color theme="1"/>
        <rFont val="Cordia New"/>
        <family val="2"/>
      </rPr>
      <t>งบประมาณทั้งสิ้น 442,200 บ.</t>
    </r>
    <r>
      <rPr>
        <sz val="13"/>
        <color theme="1"/>
        <rFont val="Cordia New"/>
        <family val="2"/>
      </rPr>
      <t xml:space="preserve"> </t>
    </r>
  </si>
  <si>
    <t>PR2-2563:2/43</t>
  </si>
  <si>
    <t>RV02050200363020006</t>
  </si>
  <si>
    <t>สำนักงานกองทุนสนับสนุน
การสร้างเสริมสุขภาพ (สสส.)
ศูนย์ศึกษาปัญหาการเสพติด</t>
  </si>
  <si>
    <r>
      <t xml:space="preserve">ตามข้อตกลงดำเนินงานสร้างเสริมสุขภาพ 
เลขที่ 62-01619-0008 โครงการการ
สร้างสรรค์สื่อรณรงค์แบบมีส่วนร่วมเพื่อ
สร้างความเข้าใจและลดปัญญาการเสพ
น้ำกระท่อมในกลุ่มเยาวชนพื้นที่เสี่ยงของ
จังหวัดสงขลา งวดที่ 1 
</t>
    </r>
    <r>
      <rPr>
        <b/>
        <sz val="13"/>
        <color theme="1"/>
        <rFont val="Cordia New"/>
        <family val="2"/>
      </rPr>
      <t>วงเงินทั้งสิ้น 130,900 บาท</t>
    </r>
  </si>
  <si>
    <t>06/02/2563</t>
  </si>
  <si>
    <t>PR2-2563:2/48</t>
  </si>
  <si>
    <t>RV02050200363020024</t>
  </si>
  <si>
    <t>นางธรรญชนก ขนอม</t>
  </si>
  <si>
    <t>ร่วมพัฒนาเมือง จำกัด (สำนักงานใหญ่) 
จังหวัดสตูล</t>
  </si>
  <si>
    <r>
      <t xml:space="preserve">ทุนอุดหนุนดำเนินการวิจัยเรื่อง การสำรวจ
ความพึงพอใจของผู้ประกอบการและ
นักท่องเที่ยวที่มีต่อแอปพลิเคชั่น 
PHATTALUNG GO 
</t>
    </r>
    <r>
      <rPr>
        <b/>
        <sz val="13"/>
        <color theme="1"/>
        <rFont val="Cordia New"/>
        <family val="2"/>
      </rPr>
      <t xml:space="preserve">จำนวนเงินทั้งสิ้น 15,000.00 บาท </t>
    </r>
  </si>
  <si>
    <t>11/02/2563</t>
  </si>
  <si>
    <t>PL2-2563:1/20</t>
  </si>
  <si>
    <t>RV02050200363020077</t>
  </si>
  <si>
    <t>09/03/2563</t>
  </si>
  <si>
    <t>PL2-2563:1/21</t>
  </si>
  <si>
    <t>RV02050200363030071</t>
  </si>
  <si>
    <t xml:space="preserve">ทุนอุดหนุนดำเนินการวิจัยแผนงานวิจัย
เรื่อง การสำรวจความพึงพอใจของผู้รับบริการสำหรับการประเมินประสิทธิภาพและประสิทธิผลการปฏิบัติราชการขององค์กรปกครองส่วนท้องถิ่น ประจำปีงบประมาณ พ.ศ.2563 </t>
  </si>
  <si>
    <t>20/03/2563</t>
  </si>
  <si>
    <t>PR2-2563:3/46</t>
  </si>
  <si>
    <t>RV02050200363030193</t>
  </si>
  <si>
    <t>เงินสนับสนุนเพื่อการวิจัย เรื่อง การศึกษารูปแบบการจัดจำหน่ายสัตว์น้ำเศรษฐกิจ
ที่โตไม่ได้ขนาดในประเทศไทย งวดที่ 1
วงเงินงบประมาณทั้งสิ้น 653,400 บาท)</t>
  </si>
  <si>
    <t>03/04/2563</t>
  </si>
  <si>
    <t>เล่มที่ 0967
เลขที่ 31</t>
  </si>
  <si>
    <t>RV02050200363040017</t>
  </si>
  <si>
    <t>บริษัท ดนตรีและศิลปะซิมโฟนี จำกัด</t>
  </si>
  <si>
    <r>
      <t xml:space="preserve">ตามสัญญาเลขที่ ซฟน.001/2562 สัญญา
จ้างดำเนินโครงการวิจัย เรื่อง มุมมอง
ความสำเร็จของหลักสูตรดนตรี "Symphony 
Learning" ในการเสริมสร้างศักยภาพการ
เรียนรู้ในกับเด็กและเยาวชน งวดที่ 4
</t>
    </r>
    <r>
      <rPr>
        <b/>
        <sz val="13"/>
        <color theme="1"/>
        <rFont val="Cordia New"/>
        <family val="2"/>
      </rPr>
      <t>วงเงินตามสัญญา 600,000 บาท</t>
    </r>
  </si>
  <si>
    <t>13/04/2563</t>
  </si>
  <si>
    <t>เล่มที่ 0967
เลขที่ 44</t>
  </si>
  <si>
    <t>RV02050200363040062</t>
  </si>
  <si>
    <r>
      <t xml:space="preserve">เงินสนับสนุนเงินทุนเพื่อการจัด
พัฒนาวิชาชีพครู ภายใต้โครงการ 
Thailand School Improvement Program
(TSIP) ภายใต้โครงการพัฒนาเครือข่าย
โรงเรียนต้นแบบเพื่อยกระดับคุณภาพ
งานวิชาการ งวดที่ 2
</t>
    </r>
    <r>
      <rPr>
        <b/>
        <sz val="13"/>
        <color theme="1"/>
        <rFont val="Cordia New"/>
        <family val="2"/>
      </rPr>
      <t xml:space="preserve">งบประมาณทั้งสิ้น 300,000.00 บาท </t>
    </r>
  </si>
  <si>
    <t>17/04/2563</t>
  </si>
  <si>
    <t>เล่มที่ 0967
เลขที่ 47</t>
  </si>
  <si>
    <t>RV02050200363040105</t>
  </si>
  <si>
    <r>
      <t xml:space="preserve">ตามสัญญาเลขที่ นว(ยธ)6/2561 สัญญา
รับทุนอุดหนุนการวิจัย เรื่อง กระบวนการ
ยุติธรรมเชิงสมานฉันท์เด็กและเยาวชนใน
จังหวัดชายแดนภาคใต้ งวดที่ 4 
</t>
    </r>
    <r>
      <rPr>
        <b/>
        <sz val="13"/>
        <color theme="1"/>
        <rFont val="Cordia New"/>
        <family val="2"/>
      </rPr>
      <t>วงเงินตามสัญญา 1,100,000 บาท</t>
    </r>
  </si>
  <si>
    <t>30/04/2563</t>
  </si>
  <si>
    <t>เล่มที่ 0967 เลขที่ 50</t>
  </si>
  <si>
    <t>RV02050200363040154</t>
  </si>
  <si>
    <t>เครือขายอุดมศึกษา
ภาคใต้ตอนล่าง 
(ม.สงขลานครินทร์)</t>
  </si>
  <si>
    <r>
      <t xml:space="preserve">เงินทุนวิจัยจากเครือข่ายอุดมศึกษา
ภาคใต้ตอนล่าง ประจำปี 2563 เรื่อง 
การพัฒนาคุณภาพการศึกษาและพัฒนา
ท้องถิ่นโดยสถาบันอุดมศึกษาเป็นพี่เลี้ยง
ประจำปี 2563 : การสร้างชุมชนแห่ง
การเรียนรู้ครูประถมศึกษา เพื่อการพัฒนา
ทักษะการอ่านออกเขียนได้ การอ่านเชิง
วิเคราะห์ และจริยธรรมด้านวินัย ด้าน
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t>
    </r>
    <r>
      <rPr>
        <b/>
        <sz val="13"/>
        <color theme="1"/>
        <rFont val="Cordia New"/>
        <family val="2"/>
      </rPr>
      <t xml:space="preserve">วงเงินทั้งสิ้น 550,000.00 บาท </t>
    </r>
  </si>
  <si>
    <t>18/06/2563</t>
  </si>
  <si>
    <t>PR2-2563:7/33</t>
  </si>
  <si>
    <t>RV02050200363060093</t>
  </si>
  <si>
    <t>อ.ดร.อภินันท์ เอื้ออังกูร</t>
  </si>
  <si>
    <t>เงินงวดพิเศษ ก . ตามสัญญาเลขที่ RDG6120041 เรื่อง การจัดการโซ่อุปทาน
และการจัดซื้อจัดหาที่ยั่งยืนของกิจการ
เพื่อสังคม : กรณีศึกษาร้านคนจับปลา</t>
  </si>
  <si>
    <t>10/08/2563</t>
  </si>
  <si>
    <t>PR2-2563:10/17</t>
  </si>
  <si>
    <t>RV02050200363080113</t>
  </si>
  <si>
    <t>รศ.ดร.ชินสัคค สุวรรณอัจฉริย</t>
  </si>
  <si>
    <t>มูลนิธิสวัสดีไทย</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</si>
  <si>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สำหรับทุนวิจัย
ตามสัญญาที่ 02/2562 เรื่อง ความคิดใหม่กับ
กลไกเศรษฐกิจของภูมิรัฐศาสตร์โลกแก่มูลนิธิ
สวัสดีไทยบนพื้นฐานของวิธีการจัดซื้อเสนอ
</t>
    </r>
    <r>
      <rPr>
        <b/>
        <sz val="13"/>
        <color theme="1"/>
        <rFont val="Cordia New"/>
        <family val="2"/>
      </rPr>
      <t>ราคา วงเงินตามสัญญา 100,000 บาท</t>
    </r>
    <r>
      <rPr>
        <sz val="13"/>
        <color theme="1"/>
        <rFont val="Cordia New"/>
        <family val="2"/>
      </rPr>
      <t xml:space="preserve"> </t>
    </r>
  </si>
  <si>
    <t>11/08/2563</t>
  </si>
  <si>
    <t>PR2-2563:10/23</t>
  </si>
  <si>
    <t>RV02050200363080129</t>
  </si>
  <si>
    <r>
      <t>เงินทุนวิจัยจากเครือข่ายอุดมศึกษาภาคใต้
ตอนล่าง ประจำปี 2563 เรื่อง การพัฒนา
คุณภาพการศึกษาและพัฒนาท้องถิ่นโดย
สถาบันอุดมศึกษาเป็นพี่เลี้ยงประจำปี 2563 : 
การสร้างชุมชนแห่งการเรียนรู้ครูประถมศึกษา 
เพื่อการพัฒนาทักษะการอ่านออกเขียนได้ 
การอ่านเชิงวิเคราะห์ และจริยธรรมด้านวินัย 
ด้านจิตอาสา เสียสละและเห็นอกเห็นใจผู้อื่น 
โดยใช้บทอ่านหนังสือของพ่อสำหรับเด็ก 
(พระบาทสมเด็จพระปรมิทรภูมิพลอดุยเดช 
รัชกาลที่ 9) ในจังหวัดสงขลาและพัทลุง งวดที่2</t>
    </r>
    <r>
      <rPr>
        <b/>
        <sz val="13"/>
        <color theme="1"/>
        <rFont val="Cordia New"/>
        <family val="2"/>
      </rPr>
      <t xml:space="preserve">วงเงินทั้งสิ้น 550,000.00 บาท </t>
    </r>
  </si>
  <si>
    <t>09/09/2563</t>
  </si>
  <si>
    <t>PR2-2563:11/46</t>
  </si>
  <si>
    <t>RV02050200363090124</t>
  </si>
  <si>
    <t>สำนักงานกองทุนเพื่อ
ความเสมอภาคทาง
การศึกษา 
(สำนักงาน กสศ.)</t>
  </si>
  <si>
    <t xml:space="preserve">ตามสัญญภาคีร่วมดำเนินงาน เลขที่สัญญา
ที่ 63-0067 โครงการศึกษาวิจัยและประเมิน
เพื่อสร้างองค์ความรู้ในการพัฒนา
การดำเนินงานโครงการครูรัก(ษ์)ถิ่นรุ่นที่ 1 
งบประมาณทั้งสิ้น 1,372,932.00 บาท </t>
  </si>
  <si>
    <t>16/09/2563</t>
  </si>
  <si>
    <t>PL2-2563:1/45</t>
  </si>
  <si>
    <t>RV02050200363090282</t>
  </si>
  <si>
    <t>21/09/2563</t>
  </si>
  <si>
    <t>PL2-2563:1/46</t>
  </si>
  <si>
    <t>RV02050200363090343</t>
  </si>
  <si>
    <t>24/09/2563</t>
  </si>
  <si>
    <t>PL2-2563:1/48</t>
  </si>
  <si>
    <t>RV02050200363090408</t>
  </si>
  <si>
    <t>PR2-2563:13/6</t>
  </si>
  <si>
    <t>RV02050200363090409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</si>
  <si>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1
วงเงินงบประมาณทั้งสิ้น 2,000,000.00 บาท</t>
  </si>
  <si>
    <t>29/09/2563</t>
  </si>
  <si>
    <t>PL2-2563:2/4</t>
  </si>
  <si>
    <t>RV02050200363090541</t>
  </si>
  <si>
    <t>PL2-2563:2/3</t>
  </si>
  <si>
    <t>RV02050200363090544</t>
  </si>
  <si>
    <t>ทุนอุดหนุนดำเนินการวิจัยแผนงานวิจัยเรื่อง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พ.ศ.2563</t>
  </si>
  <si>
    <t>SL2-2563:34/13</t>
  </si>
  <si>
    <t>RV00300000563090372</t>
  </si>
  <si>
    <t>PR2-2563:14/4</t>
  </si>
  <si>
    <t>RV02050200363090585</t>
  </si>
  <si>
    <t xml:space="preserve">รศ.ดร.พรพันธุ์ เขมคุณาศัย </t>
  </si>
  <si>
    <t xml:space="preserve">เงินสนับสนุนค่าธรรมเนียมอุดหนุนสถาบัน 
(งวดพิเศษ ก.)ตามสัญญาเลขที่RDG60S0001 
จากโครงการวิจัยเรื่อง การสังเคราะห์รูปแบบ
การสร้างความเข้มแข็งของชุมชนบนฐาน
การทำนา จังหวัดนราธิวาส </t>
  </si>
  <si>
    <t>PR2-2564:1/16</t>
  </si>
  <si>
    <t>RV02050200363090693</t>
  </si>
  <si>
    <t>เงินสนับสนุนเพื่อการวิจัย เรื่อง การศึกษารูปแบบการจัดจำหน่ายสัตว์น้ำเศรษฐกิจที่
โตไม่ได้ขนาดในประเทศไทย งวดที่ 2
วงเงินงบประมาณทั้งสิ้น 653,400 บาท</t>
  </si>
  <si>
    <t>JV02050200363090177</t>
  </si>
  <si>
    <t>องค์กรปกครองส่วนท้องถิ่น
จำนวน 108 หน่วยงาน</t>
  </si>
  <si>
    <t>JV02050200363090279</t>
  </si>
  <si>
    <t>ตามสัญญาจ้างผู้เชี่ยวชาญรายบุคคลหรือ
จ้างบริษัทที่ปรึกษา ดำเนินการสำรวจและ
ติดตามการดำเนินตามมาตรฐานสถานพัฒนา
เด็กปฐมวัยแห่งชาติประจำปีงบประมาณ2563
ของสถานพัฒนาเด็กปฐมวัย งวดที่ 2
วงเงินงบประมาณทั้งสิ้น 2,000,000.00 บาท</t>
  </si>
  <si>
    <t>PR2-2563:1/14</t>
  </si>
  <si>
    <t>RV02050200363100156</t>
  </si>
  <si>
    <t xml:space="preserve">ศูนย์วิจัยและพัฒนาทรัพยากรทางทะเล และชายฝั่งอ่าวไทยตอนกลาง (ศวทก.) </t>
  </si>
  <si>
    <r>
      <t xml:space="preserve">ทุนอุดหนุนดำเนินการวิจัยแผนงานวิจัย
เรื่อง การศึกษาผลกระทบขยะทะเลต่อ
ระบบนิเวศที่สำคัญ (การศึกษาองค์ประกอบเลือด การติดเชื้อ และการเปลี่ยนแปลงทางเนื้อเยื่อของปูลม) 
</t>
    </r>
    <r>
      <rPr>
        <b/>
        <sz val="13"/>
        <color theme="1"/>
        <rFont val="Cordia New"/>
        <family val="2"/>
      </rPr>
      <t>งบประมาณทั้งสิ้น 120,000.00 บาท</t>
    </r>
  </si>
  <si>
    <t>PR2-2563:2/17
และ
PR2-2563:2/18</t>
  </si>
  <si>
    <t>RV02050200363120211</t>
  </si>
  <si>
    <r>
      <t xml:space="preserve">ค่าธรรมเนียมสถาบันของงวดที่ 2-3 (10%)
ตามข้อตกลงดำเนินงานสร้างเสริมสุขภาพ เลขที่ 61-00-1385 โครงการประเมินผลเ
พื่อการเรียนรู้และพัฒนาเพื่อเสริมสร้าง
แนวทางการดำเนินงานพื้นที่ชุมชนน่าอยู่
จังหวัดพัทลุง และชุมชนชายแดนใต้
(จังหวัดยะลาและปัตตานี) 
</t>
    </r>
    <r>
      <rPr>
        <b/>
        <sz val="13"/>
        <color theme="1"/>
        <rFont val="Cordia New"/>
        <family val="2"/>
      </rPr>
      <t xml:space="preserve">งบประมาณทั้งสิ้น 2,000,000บ. </t>
    </r>
  </si>
  <si>
    <t>17/01/2563</t>
  </si>
  <si>
    <t>PR2-2563:2/35</t>
  </si>
  <si>
    <t>RV02050200363010167</t>
  </si>
  <si>
    <r>
      <t xml:space="preserve">เงินค่าธรรมเนียมร้อยละ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สนับสนุนงานวิจัย เรื่อง ผลของน้ำมันระเหย
บางชนิดในประเทศไทยที่มีผลต่อสรีรวิทยา
และอารมณ์ความรู้สึก
(งวดที่พิเศษ เบิกจ่าย160,000 บาท) 
</t>
    </r>
    <r>
      <rPr>
        <b/>
        <sz val="13"/>
        <color theme="1"/>
        <rFont val="Cordia New"/>
        <family val="2"/>
      </rPr>
      <t xml:space="preserve">งบประมาณทั้งสิ้น 400,000 บาท </t>
    </r>
    <r>
      <rPr>
        <sz val="13"/>
        <color theme="1"/>
        <rFont val="Cordia New"/>
        <family val="2"/>
      </rPr>
      <t xml:space="preserve">
</t>
    </r>
  </si>
  <si>
    <t>31/01/2563</t>
  </si>
  <si>
    <t>PR2-2563:2/42</t>
  </si>
  <si>
    <t>RV02050200363010322</t>
  </si>
  <si>
    <t>สัญญาเลขที่ สพภ.-วช.18/2561 สัญญา
รับทุนอุดหนุนส่งเสริมและสนับสนุนการวิจัย
ด้านสิ่งแวดล้อม ความหลากหลายทาง
ชีวภาพ และระบบนิเวศ เรื่อง การกำจัด
ซัลไฟด์และผลิตกรดซัลฟริคจากซัลไฟด์
ในระบบผลิตก๊าซชีวภาพจากน้ำเสียแปรรูป
ยางพาราเพื่อเพิ่มศักยภาพในการผลิตมีแทน
และนำกรดซัลฟูริคกลับมาใช้ใหม่ใน
กระบวนการผลิต งวดที่ 3 
(วงเงินตามสัญญา 500,000 บาท)</t>
  </si>
  <si>
    <t>PR2-2563:2/49</t>
  </si>
  <si>
    <t>RV02050200363020025</t>
  </si>
  <si>
    <t>สำนักงานพัฒนาการวิจัย
เกษตร(องค์การมหาชน)</t>
  </si>
  <si>
    <r>
      <t xml:space="preserve">ค่าธรรมเนียมอุดหนุนสถาบัน ตามสัญญาที่
CRP610502290 สัญญารับทุนอุดหนุน
โครงการวิจัยการเกษตร เรื่อง การบำบัดสี
ในน้ำเสียจากการแปรรูปปาล์มน้ำมัน
ด้วยเซลล์เชื้อเพลิงจุลินทรีย์ชนิดใช้กล้า
เชื้อราที่ทนสภาวะไร้อากาศเป็นตัวเร่งบน
ขั้วไฟฟ้า(ระยะที่ 2) งวดที่ 1
</t>
    </r>
    <r>
      <rPr>
        <b/>
        <sz val="13"/>
        <color theme="1"/>
        <rFont val="Cordia New"/>
        <family val="2"/>
      </rPr>
      <t>วงเงินทั้งสิ้น 1,464,093.00 บาท</t>
    </r>
  </si>
  <si>
    <t>27/03/2563</t>
  </si>
  <si>
    <t>เล่มที่ 0967 เลขที่ 15</t>
  </si>
  <si>
    <t>RV02050200363030257</t>
  </si>
  <si>
    <t>ทุนอุดหนุนดำเนินการวิจัยแผนงานวิจัย
เรื่อง การกำจัดน้ำล้างและเศษของเสีย
จากการประมงปลาสามน้ำด้วยระบบ
หมักแบบไร้อากาศและการประยุกต์ใช้
น้ำหมักชีวภาพในการทำเกษตรอินทรีย์
ต่อชุมชนลำปำ งวดที่ 1
งบประมาณทั้งสิ้น 450,000.00 บาท</t>
  </si>
  <si>
    <t>เล่มที่ 0967 เลขที่ 14</t>
  </si>
  <si>
    <t>RV02050200363030258</t>
  </si>
  <si>
    <t xml:space="preserve">ทุนอุดหนุนดำเนินการวิจัยแผนงานวิจัย
เรื่อง การส่งเสริมศักยภาพด้านการบริการ
ท่องเที่ยวเชิงชุมชนโดยใช้โปรแกรมสนทนา
อัตโนมัติบนมือถือ กรณีศึกษา พื้นที่ชุมชน
ตำบลลานข่อย อำเภอป่าพะยอม จังหวัด
พัทลุง งวดที่ 1
งบประมาณทั้งสิ้น 490,000.00 บาท </t>
  </si>
  <si>
    <t>08/04/2563</t>
  </si>
  <si>
    <t>PR2-2563:4/13</t>
  </si>
  <si>
    <t>RV02050200363040033</t>
  </si>
  <si>
    <r>
      <t xml:space="preserve">สัญญาเลขที่ สพภ.-วช.18/2561 สัญญา
รับทุนอุดหนุนส่งเสริมและสนับสนุน
วิจัยด้านสิ่งแวดล้อม ความหลากหลาย
ทางชีวภาพและระบบนิเวศ เรื่อง การกำจัด
ซัลไฟด์และผลิตกรดซัลฟริคจากซัลไฟด์
ในระบบผลิตก๊าซชีวภาพจากน้ำเสีย
แปรรูปยางพาราเพื่อเพิ่มศักยภาพใน
การผลิตมีแทนและนำกรดซัลฟูริคกลับมา
ใช้ใหม่ในกระบวนการผลิต งวดที่ 4
</t>
    </r>
    <r>
      <rPr>
        <b/>
        <sz val="13"/>
        <color theme="1"/>
        <rFont val="Cordia New"/>
        <family val="2"/>
      </rPr>
      <t xml:space="preserve">(วงเงินตามสัญญา 500,000 บาท) </t>
    </r>
  </si>
  <si>
    <t>22/04/2563</t>
  </si>
  <si>
    <t>PR2-2563:4/29</t>
  </si>
  <si>
    <t>RV02050200363040124</t>
  </si>
  <si>
    <t>สำนักงานพัฒนาวิทยาศาสตร์และเทคโนโลยีแห่งชาติ</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</si>
  <si>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 2 
</t>
    </r>
    <r>
      <rPr>
        <b/>
        <sz val="13"/>
        <color theme="1"/>
        <rFont val="Cordia New"/>
        <family val="2"/>
      </rPr>
      <t>วงเงินตามงบประมาณ 250,000 บาท</t>
    </r>
    <r>
      <rPr>
        <sz val="13"/>
        <color theme="1"/>
        <rFont val="Cordia New"/>
        <family val="2"/>
      </rPr>
      <t xml:space="preserve"> </t>
    </r>
  </si>
  <si>
    <t>หักครบถ้วนแล้วในงวดที่ 1</t>
  </si>
  <si>
    <t>23/04/2563</t>
  </si>
  <si>
    <t>เล่มที่ 0967
เลขที่ 48</t>
  </si>
  <si>
    <t>RV02050200363040127</t>
  </si>
  <si>
    <t>ทุนอุดหนุนดำเนินการวิจัยเรื่อง The effect
of high levels of supplementation in 
diet on growth performance and feed
utilization of Nile tilapia งวดที่ 2</t>
  </si>
  <si>
    <t>เล่มที่ 1012
เลขที่ 01</t>
  </si>
  <si>
    <t>RV02050200363040155</t>
  </si>
  <si>
    <r>
      <t xml:space="preserve">สัญญาให้ทุนอุดหนุนโครงการวิจัย 
พัฒนาและวิศวกรรม สัญญาเลขที่ FDA-CO-2561-5830-TH  เรื่อง การ
พัฒนาตัวเร่งปฏิกิริยาเพื่อเซลเชื้อเพลิง
เอทานอลโดยไม่ใช้เยื่อเลือกผ่าน งวดที่ 
</t>
    </r>
    <r>
      <rPr>
        <b/>
        <sz val="13"/>
        <color theme="1"/>
        <rFont val="Cordia New"/>
        <family val="2"/>
      </rPr>
      <t xml:space="preserve">งบประมาณทั้งโครงการ 250,000 บาท </t>
    </r>
  </si>
  <si>
    <t>12/05/2563</t>
  </si>
  <si>
    <t>PR2-2563:4/48</t>
  </si>
  <si>
    <t>RV02050200363050054</t>
  </si>
  <si>
    <t>ผศ.ดร.นันทรัตน์ พฤกษาพิทักษ์</t>
  </si>
  <si>
    <t>สำนักงานพัฒนา
เศรษฐกิจจากฐานชีวภาพ
(องค์การมหาชน)</t>
  </si>
  <si>
    <r>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3</t>
    </r>
    <r>
      <rPr>
        <b/>
        <sz val="13"/>
        <color theme="1"/>
        <rFont val="Cordia New"/>
        <family val="2"/>
      </rPr>
      <t>งบประมาณทั้งสิ้น 1,500,000 บ.</t>
    </r>
  </si>
  <si>
    <t>13/05/2563</t>
  </si>
  <si>
    <t>PR2-2563:4/50</t>
  </si>
  <si>
    <t>RV02050200363050059</t>
  </si>
  <si>
    <t>สำนักงานพัฒนาการวิจัยการเกษตร</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</si>
  <si>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3 
</t>
    </r>
    <r>
      <rPr>
        <b/>
        <sz val="13"/>
        <color theme="1"/>
        <rFont val="Cordia New"/>
        <family val="2"/>
      </rPr>
      <t>วงเงินตามงบประมาณ 433,400 บาท</t>
    </r>
  </si>
  <si>
    <t>22/05/2563</t>
  </si>
  <si>
    <t>PR2-2563:5/33</t>
  </si>
  <si>
    <t>RV02050200363050102</t>
  </si>
  <si>
    <t>ดำเนินการภายใต้สถาบันวิจัยและพัฒนา 
รศ.ดร.ณฐพงศ์ จิตรนิรัตน์
รองอธิการบดีฝ่ายการ
วิจัยและบริการวิชาการ 
ทำหน้าที่หัวหน้าชุด
งานวิจัย</t>
  </si>
  <si>
    <t>สถาบันส่งเสริมการสอน 
วิทยาศาสตร์และเทคโนโลยี</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</si>
  <si>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1 การขับเคลื่อน
นวัตกรรมบูรณาการเพื่อพัฒนาสมรรถนะ
ทางเทคโนโลยีดิจิทัลในการเป็น
ผู้ประกอบการบนฐานชุมชนของโรงเรียน
มัธยมศึกษาพื้นที่นวัตกรรมการศึกษา 
จังหวัดสตูล</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</si>
  <si>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2 การพัฒนาผู้นำการ
เปลี่ยนแปลงของผู้บริหารสถานศึกษาใน
เขตพื้นที่นวัตกรรม (ภาคใต้)</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</si>
  <si>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3 การพัฒนาสมรรถนะ
ครูในศตวรรษที่ 21 ด้วยชุมชนการเรียนรู้
ทางวิชาชีพ เพื่อลดความเหลื่อมล้ำของ
เยาวชนให้มีวิถีชีวิตตามปรัชญาเศรษฐกิจ
พอเพียง พื้นที่เกาะจังหวัดสตูล</t>
  </si>
  <si>
    <t>อ.ดร.นันทิดา สุวรรมวงศ์</t>
  </si>
  <si>
    <t>งบบริหารจัดการชุดโครงการวิจัย : 
เพิ่มศักยภาพครูให้มีสมรรถนะของครู
ยุคใหม่สำหรับการเรียนรู้ศตวรรษที่ 21 : 
โครงการวิจัยย่อย 4 TSU GLOBE 
คณะวิทยาศาสตร์ มหาวิทยาลัยทักษิณ</t>
  </si>
  <si>
    <t>PR2-2563:7/32</t>
  </si>
  <si>
    <t>RV02050200363060092</t>
  </si>
  <si>
    <t>อ.ดร.ปุรวิชญ์ พิทยาภินันท์</t>
  </si>
  <si>
    <t>เงินงวดพิเศษ ก . ตามสัญญาเลขที่ RDG6120038 เรื่อง ความต้องการความรู้
ในการทำสวนปาล์มน้ำมันขนาดเล็กของ
เกษตรกรผู้ปลูกปาล์มน้ำมันรายย่อยใน
จังหวัดสตูล</t>
  </si>
  <si>
    <t>PR2-2563:7/34</t>
  </si>
  <si>
    <t>RV02050200363060094</t>
  </si>
  <si>
    <t>ตามสัญญาเลขที่ สพภ.-วช.42/2561 
สัญญารับทุนอุดหนุนการวิจัย เรื่อง 
การสังเคราะห์และสมบัติของพอลิบิวธิลีน
ซัคซิเนต(PBS)เชิงอุตสาหกรรม งวดที่ 4งบประมาณทั้งสิ้น 1,500,000 บ.</t>
  </si>
  <si>
    <t>หักครบถ้วนแล้วในงวดที่ 3</t>
  </si>
  <si>
    <t>15/07/2563</t>
  </si>
  <si>
    <t>PR2-2563:8/46</t>
  </si>
  <si>
    <t>RV02050200363070120</t>
  </si>
  <si>
    <t xml:space="preserve">สำนักงานพัฒนา
การวิจัยการเกษตร
(องค์การมหาชน) </t>
  </si>
  <si>
    <r>
      <t xml:space="preserve">ตามสัญญาเลขที่ PRP6305031490 สัญญา
รับทุนอุดหนุนโครงการวิจัยการเกษตร 
สำหรับทุนวิจัยเรื่อง การยกระดับคุณภาพ
และการเพิ่มมูลค่าข้าวสังข์หยดพัทลุงด้วยนวัตกรรม  งวดที่ 1 (งบบริหาร)
</t>
    </r>
    <r>
      <rPr>
        <b/>
        <sz val="13"/>
        <color theme="1"/>
        <rFont val="Cordia New"/>
        <family val="2"/>
      </rPr>
      <t xml:space="preserve">วงเงินทั้งโครงการ 2,300,000.00 บาท </t>
    </r>
  </si>
  <si>
    <t>PR2-2563:8/47</t>
  </si>
  <si>
    <r>
      <t xml:space="preserve">ตามสัญญาเลขที่ PRP6305031490 สัญญา
รับทุนอุดหนุนโครงการวิจัยการเกษตร ของสำหรับทุนวิจัยเรื่อง การยกระดับคุณภาพ
และการเพิ่มมูลค่าข้าวสังข์หยดพัทลุงด้วยนวัตกรรม  งวดที่ 1 (งบครุภัณฑ์)
</t>
    </r>
    <r>
      <rPr>
        <b/>
        <sz val="13"/>
        <color theme="1"/>
        <rFont val="Cordia New"/>
        <family val="2"/>
      </rPr>
      <t xml:space="preserve">วงเงินทั้งโครงการ 2,300,000.00 บาท </t>
    </r>
  </si>
  <si>
    <t>21/07/2563</t>
  </si>
  <si>
    <t>PR2-2563:9/22</t>
  </si>
  <si>
    <t>RV02050200363070202</t>
  </si>
  <si>
    <r>
      <t xml:space="preserve">ตามสัญญาเลขที่ PRP6105012420 
สนับสนุนโครงการวิจัย เรื่อง การพัฒนา
คุณสมบัติทางกายภาพของใบไม้สีทอง
ด้วยการเคลือบน้ำยางเพื่อเพิ่มมูลค่า
ผลิตภัณฑ์ในพื้นที่จังหวัดชายแดนภาคใต้ 
งวดที่ 4 </t>
    </r>
    <r>
      <rPr>
        <b/>
        <sz val="13"/>
        <color theme="1"/>
        <rFont val="Cordia New"/>
        <family val="2"/>
      </rPr>
      <t xml:space="preserve">วงเงินตามงบประมาณ 433,400 บ. </t>
    </r>
  </si>
  <si>
    <t>03/08/2563</t>
  </si>
  <si>
    <t>PR2-2563:9/44</t>
  </si>
  <si>
    <t>RV02050200363080019</t>
  </si>
  <si>
    <t>ว่าที่ ร.ต.พลกฤษณ์ คล้ายวิตภัทร</t>
  </si>
  <si>
    <t>สำนักงานส่งเสริม
การบริการวิชาการและ
ภูมิปัญญาชุมชน</t>
  </si>
  <si>
    <t>สำนักงานปลัดกระทรวง
การอุดมศึกษา 
วิทยาศาสตร์</t>
  </si>
  <si>
    <r>
      <t xml:space="preserve">บันทึกข้อตกลงความความร่วมมือโครงการ
ประเมินผลการดำเนินงานและประเมินผลลัพธ์
มูลค่าเพิ่ม ภายใต้ โครงการยกระดับการผลิต
สินค้าเกษตรที่เป็นอัตลักษณ์ที่เหมาะสมกับ
ศักยภาพพื้นที่ของภาค(ภาคใต้) และโครงการ
พัฒนาศักยภาพการผลิตด้านการเกษตร
(การเพิ่มมูลค่าการผลิตและแปรรูปผลิตภัณฑ์
ปศุสัตว์ ด้วยวิทยาศาสตร์และเทคโนโลยี
ในพื้นที่ภาคใต้ชายแดน) ประจำปี 2563 
</t>
    </r>
    <r>
      <rPr>
        <b/>
        <sz val="13"/>
        <color theme="1"/>
        <rFont val="Cordia New"/>
        <family val="2"/>
      </rPr>
      <t>วงเงินตามสัญญา 800,000.00 บาท</t>
    </r>
  </si>
  <si>
    <t>06/08/2563</t>
  </si>
  <si>
    <t>PR2-2563:10/2</t>
  </si>
  <si>
    <t>RV02050200363080078</t>
  </si>
  <si>
    <r>
      <t xml:space="preserve">ทุนอุดหนุนดำเนินการวิจัย เรื่อง โครงการการ
กำจัดก๊าซไฮโดรเจนซัลไฟด์ในก๊าซชีวภาพ
ด้วยระบบ Denitrifying Sulfide Remaoval </t>
    </r>
    <r>
      <rPr>
        <b/>
        <sz val="13"/>
        <color theme="1"/>
        <rFont val="Cordia New"/>
        <family val="2"/>
      </rPr>
      <t>งบประมาณทั้งโครงการ 470,000.00 บาท สำหรับเงินประกันผลงานร้อยละ 5 
(470,000 X 5%)</t>
    </r>
  </si>
  <si>
    <t>07/08/2563</t>
  </si>
  <si>
    <t>PR2-2563:10/7</t>
  </si>
  <si>
    <t>RV02050200363080096</t>
  </si>
  <si>
    <t>อาจารย์ นิดา นุ้ยเด็น</t>
  </si>
  <si>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
สนับสนุน เรื่อง ผลของน้ำมันระเหยบางชนิด
ในประเทศไทยที่มีผลต่อสรีรวิทยาและอารมณ์ความรู้สึก งวดที่ 1 
</t>
    </r>
    <r>
      <rPr>
        <b/>
        <sz val="13"/>
        <color theme="1"/>
        <rFont val="Cordia New"/>
        <family val="2"/>
      </rPr>
      <t>งบประมาณทั้งสิ้น 400,000 บาท</t>
    </r>
  </si>
  <si>
    <t>26/08/2563</t>
  </si>
  <si>
    <t>PR2-2563:11/10</t>
  </si>
  <si>
    <t>RV02050200363080256</t>
  </si>
  <si>
    <t>คณะอุตสาหกรรมเกษตร
และชีวภาพ</t>
  </si>
  <si>
    <t>สำนักงานพัฒนา
การวิจัยการเกษตร 
(องค์การมหาชน)</t>
  </si>
  <si>
    <r>
      <t xml:space="preserve">เงินค่าธรรมเนียมวิจัยตามหลักเกณฑ์การ
ให้ทุน ในหมวดค่าบริการวิชาการ ตามสัญญา
เลขที่ CRP6105022900 จาก เรื่อง การบำบัด
สีในน้ำเสียจากการแปรรูปปาล์มน้ำมันด้วย
เซลล์เชื้อเพลิงจุลินทรีย์ชนิดใช้กล้าเชื้อรา
ที่ทนสภาวะไร้อากาศเป็นตัวเร่งบนขั้วไฟฟ้า 
(ระยะที่2) งวดที่ 2 
</t>
    </r>
    <r>
      <rPr>
        <b/>
        <sz val="13"/>
        <color theme="1"/>
        <rFont val="Cordia New"/>
        <family val="2"/>
      </rPr>
      <t>งบประมาณทั้งสิ้น 1,464,093.00 บาท</t>
    </r>
    <r>
      <rPr>
        <sz val="13"/>
        <color theme="1"/>
        <rFont val="Cordia New"/>
        <family val="2"/>
      </rPr>
      <t xml:space="preserve"> </t>
    </r>
  </si>
  <si>
    <t>15/09/2563</t>
  </si>
  <si>
    <t>PR2-2563:12/20</t>
  </si>
  <si>
    <t>RV02050200363090264</t>
  </si>
  <si>
    <r>
      <t xml:space="preserve">ตามสัญญาเลขที่ PRP6305031490 
สัญญารับทุนอุดหนุนโครงการวิจัยการเกษตร 
สำหรับทุนวิจัยเรื่อง การยกระดับคุณภาพ
และการเพิ่มมูลค่าข้าวสังข์หยดพัทลุงด้วย
นวัตกรรม งวดที่ 2
</t>
    </r>
    <r>
      <rPr>
        <b/>
        <sz val="13"/>
        <color theme="1"/>
        <rFont val="Cordia New"/>
        <family val="2"/>
      </rPr>
      <t xml:space="preserve">วงเงินทั้งโครงการ 2,300,000.00 บาท </t>
    </r>
  </si>
  <si>
    <t>25/09/2563</t>
  </si>
  <si>
    <t>PR2-2563:13/15</t>
  </si>
  <si>
    <t>RV02050200363090423</t>
  </si>
  <si>
    <t>อ.ดร.สืบพงศ์ สงวลศิลป์</t>
  </si>
  <si>
    <t>ศูนย์วิจัยทรัพยากรทาง
ทะเลและชายฝั่งทะเล
อันดามันตอนบน</t>
  </si>
  <si>
    <t>ตามใบสั่งจ้างเลขที่ 214/2563 ได้ว่าจ้างวิเคราะห์ความหลากหลายทางชีวภาพ
ของปลาในแนวปะการัง จำนวน 1 งาน 
วงเงิน 170,000.00 บาท</t>
  </si>
  <si>
    <t>PR2-2563:13/14</t>
  </si>
  <si>
    <t>RV02050200363090424</t>
  </si>
  <si>
    <t>ศูนย์วิจัยทรัพยากรทาง
ทะเลและชายฝั่งอ่าวไทย
ตอนกลางชุมพร</t>
  </si>
  <si>
    <t>ตามใบสั่งจ้างเลขที่ 532/2563 ได้ว่าจ้าง
วิเคราะห์ตัวอย่างองค์ประกอบเลือดการ
เปลี่ยนแปลงทางเนื้อเยื่อวิทยาการติดเชื้อ
ปรสิตและเชื้อแบคทีเรียของปูลม จำนวน 1 
งาน วงเงิน 120,000.00 บาท</t>
  </si>
  <si>
    <t>28/09/2563</t>
  </si>
  <si>
    <t>PR2-2563:13/17</t>
  </si>
  <si>
    <t>RV02050200363090466</t>
  </si>
  <si>
    <t>อาจารย์ ดร.จันทวรรณ น้อยศรี</t>
  </si>
  <si>
    <t>สำนักงานพัฒนาวิทยาศาสตร์และ
เทคโนโลยีแห่งชาติ</t>
  </si>
  <si>
    <r>
      <t xml:space="preserve">ตามสัญญาเลขที่ 78/2557 ให้ทุนอุดหนุน
โครงการวิจัยเรื่อง การเปรียบเทียบผลเฉลย
ของแบบจำลองเชิงตัวเลขอย่างง่ายสำหรับ
สาธิตกระบวนการเกิดเมฆเฉพาะที่ในเขตร้อน: 
การทดลองการร้อนขึ้นของพื้นผิว งวดสุดท้าย
</t>
    </r>
    <r>
      <rPr>
        <b/>
        <sz val="13"/>
        <color theme="1"/>
        <rFont val="Cordia New"/>
        <family val="2"/>
      </rPr>
      <t xml:space="preserve">วงเงินงบประมาณทั้งสิ้น 250,000.00 บาท </t>
    </r>
  </si>
  <si>
    <t>RV02050200363090676</t>
  </si>
  <si>
    <t>ไม่ทราบแหล่งที่มา</t>
  </si>
  <si>
    <t>ตามหนังสือที่ อว8206.04/1431 ลว.29/09/63 
เรื่อง ขออนุมัติเบิกเงินทุนอุดหนุนการวิจัยจาก
แหล่งทุนวิจัยภายนอกนำส่งเป็นรายได้กองทุน
วิจัยมหาวิทยาลัยทักษิณ สำหรับเงินโอนผ่าน
บัญชีในวันที่ 05/06/63 จำนวนเงิน 20,000 บ. 
แต่ไม่มีนักวิจัยประสานงานมายังสถานบันวิจัย
เพื่อให้เป็นตามหลักการรับรู้รายได้จึงขอรับรู้
เป็นรายได้ของกองทุนวิจัยทั้งจำนวน</t>
  </si>
  <si>
    <r>
      <t xml:space="preserve">PR2-2564:1/5
</t>
    </r>
    <r>
      <rPr>
        <b/>
        <u/>
        <sz val="13"/>
        <color rgb="FFFF0000"/>
        <rFont val="Cordia New"/>
        <family val="2"/>
      </rPr>
      <t>รายได้ค้างรับ</t>
    </r>
  </si>
  <si>
    <t>RV02050200363090677
JV02050200363090067</t>
  </si>
  <si>
    <t>ผศ.ดร.ชัยสิทธิ์ นิยะสม</t>
  </si>
  <si>
    <t>สำนักคณะกรรมการ
ส่งเสริมวิทยาศาสตร์ วิจัยและนวัตกรรม(สกสว.)</t>
  </si>
  <si>
    <t>เงินเหลือจากโครงการวิจัย(เนื่องจากโครงการ
สิ้นสุดแต่ไม่มีการเบิกจ่ายค่าตอบแทนงวด
สุดท้าย) ตามเลขที่สัญญา MRG5580073 
โครงการวิจัยเรื่อง การศึกษาความหลากหลาย
ของอาร์เคียในอาหารหมักภาคใต้ของไทยที่
ปริมาณเกลือสูงด้วยเทคนิค 16S rDNA-DGGE 
และคุณสมบัติทางชีวภาพของอาร์คีโอซินที่ผลิต
โดยอาร์เคียสายพันธุ์ที่ชอบเกลือ</t>
  </si>
  <si>
    <t>JV02050200363090278</t>
  </si>
  <si>
    <r>
      <t xml:space="preserve">สัญญาเลขที่ FDA-CO-251-5673-TH 
ซึ่งเป็นสัญญาให้ทุนอุดหนุนโครงการวิจัย
พัฒนาและวิศวกรรมเรื่องการปรับปรุง
ค่าความร้อนของวัสดุผสมเพื่อเป็น
เชื้อเพลิงจากขยะกับชีวมวลจากปาล์ม
และชีวมวลจากมะพร้าว งวดที่สุดท้าย
</t>
    </r>
    <r>
      <rPr>
        <b/>
        <sz val="13"/>
        <color theme="1"/>
        <rFont val="Cordia New"/>
        <family val="2"/>
      </rPr>
      <t>วงเงินตามงบประมาณ 250,000 บาท</t>
    </r>
    <r>
      <rPr>
        <sz val="13"/>
        <color theme="1"/>
        <rFont val="Cordia New"/>
        <family val="2"/>
      </rPr>
      <t xml:space="preserve"> </t>
    </r>
  </si>
  <si>
    <t>รวมยอดเงินรับรายได้ประเภททุนสนับสนุนเพื่อการวิจัยระหว่างเดือนตุลาคม 2562 - กันยายน 2563 เป็นเงินทั้งสิ้น</t>
  </si>
  <si>
    <t>(1)</t>
  </si>
  <si>
    <t>(2)</t>
  </si>
  <si>
    <t xml:space="preserve">สรุปรายการเงินรายได้เพื่อการวิจัยจากแหล่งทุนภายนอก จัดสรรเข้าเงินกองทุนวิจัยมหาวิทยาลัยทักษิณ ทั้งปีงบประมาณ 2563 ( (1) + (2) ) = </t>
  </si>
  <si>
    <r>
      <rPr>
        <b/>
        <u/>
        <sz val="13"/>
        <color theme="1"/>
        <rFont val="Cordia New"/>
        <family val="2"/>
      </rPr>
      <t>หัก</t>
    </r>
    <r>
      <rPr>
        <sz val="13"/>
        <color theme="1"/>
        <rFont val="Cordia New"/>
        <family val="2"/>
      </rPr>
      <t xml:space="preserve">   </t>
    </r>
    <r>
      <rPr>
        <b/>
        <sz val="13"/>
        <color theme="1"/>
        <rFont val="Cordia New"/>
        <family val="2"/>
      </rPr>
      <t>รายการจัดสรรเข้าเงินกองทุนวิจัยมหาวิทยาลัยทักษิณ ระหว่างปีงบประมาณ 2563</t>
    </r>
  </si>
  <si>
    <t>คงเหลือจัดสรรเข้าเงินกองทุนวิจัยมหาวิทยาลัยทักษิณ สิ้นปีงบประมาณ 2563</t>
  </si>
  <si>
    <t>ภารกิจบัญชีดำเนินการปรับปรุงรายการ ณ วันที่ 30 กันยายน 2563 ดังนี้</t>
  </si>
  <si>
    <t>1. ปรับปรุงค่าใช้จ่ายและรายได้ของสถาบันวิจัยและพัฒนา จากการตัดงบประมาณเป็นเงินบำรุงให้กับกองทุนวิจัยมหาวิทยาลัยทักษิณ 5 % ตามแผนการเบิกจ่ายและแผนการรับเงิน</t>
  </si>
  <si>
    <t xml:space="preserve">            เดบิต   รายได้เพื่อการวิจัยจากแหล่งทุนภายนอก</t>
  </si>
  <si>
    <t xml:space="preserve">                         เครดิต  ค่าใช้จ่ายทุนวิจัยภายนอก</t>
  </si>
  <si>
    <t>2. ปรับปรุงรายได้ค้างรับ พร้อมรับรู้รายได้เพื่อการวิจัยจากแหล่งทุนภายนอก ในส่วนของงบการเงินกองทุนวิจัยมหาวิทยาลัยทักษิณ (เนื่องจากยังไม่ได้รับตัวเงินแต่มีการรับทราบว่ามีการตัดโอนงบประมาณ)</t>
  </si>
  <si>
    <t xml:space="preserve">            เดบิต   รายได้ค้างรับ</t>
  </si>
  <si>
    <t xml:space="preserve">                         เครดิต  รายได้เพื่อการวิจัยจากแหล่งทุนภายนอก</t>
  </si>
  <si>
    <t>3. เมื่อได้รับการโอนเงินบำรุงมหาวิทยาลัยเข้าบัญชีเงินฝากธนาคารเรียบร้อยแล้ว</t>
  </si>
  <si>
    <t xml:space="preserve">            เดบิต   เงินฝากธนาคาร</t>
  </si>
  <si>
    <t xml:space="preserve">                         เครดิต  รายได้ค้างรับ</t>
  </si>
  <si>
    <t>หมายเหตุ : ปฏิบัติภายใต้ระเบียบคณะกรรมการการเงินและทรัพย์สิน ว่าด้วย การบริหารจัดการทุนอุดหนุนการวิจัยจากแหล่งทุนภายนอก พ.ศ. 2557  ข้อที่ 5.6 การขอรับทุนอุดหนุนการวิจัย</t>
  </si>
  <si>
    <t xml:space="preserve">               และจัดสรรงบประมาณค่าบริหารจัดการทุนอุดหนุนการวิจัยที่ได้รับจากแหล่งทุนภายนอก ดำเนินการตามข้อที่ 5.6.2 การจัดสรรงบประมาณค่าบริหาจัดการทุนอุดหนุนการวิจัย</t>
  </si>
  <si>
    <t xml:space="preserve">               ที่ได้รับจากแหล่งทุน มหาวิทยาลัยจะเป็นผู้รับเงินทุนวิจัย และจะหักค่าธรรมเนียมร้อยละ 10 ของงบประมาณที่ได้รับจากแหล่งทุนภายนอกทุนวิจัย และแบ่งสัดส่วนดังนี้     </t>
  </si>
  <si>
    <t xml:space="preserve">   </t>
  </si>
  <si>
    <t>1. กองทุนวิจัยมหาวิทยาลัยทักษิณ ร้อยละ 50</t>
  </si>
  <si>
    <t>2. คณะ / หน่วยงานต้นสังกัดของหัวหน้าโครงการวิจัย ร้อยละ 50</t>
  </si>
  <si>
    <t>ทะเบียนคุมเงินทุนวิจัยภายนอก ปีงบประมาณ 2558</t>
  </si>
  <si>
    <t>01/12/2564</t>
  </si>
  <si>
    <t>PR2-2565:5/9</t>
  </si>
  <si>
    <t>RV00020900065120003</t>
  </si>
  <si>
    <t>องค์การบริหารส่วนจังหวัด
ภูเก็ต</t>
  </si>
  <si>
    <t>PR2-2565:5/12</t>
  </si>
  <si>
    <t>RV00020900065120005</t>
  </si>
  <si>
    <t>PL2-2565:1/28</t>
  </si>
  <si>
    <t>RV00020900065120016</t>
  </si>
  <si>
    <t>หักครบถ้วน
แล้ว</t>
  </si>
  <si>
    <t>PL2-2565:1/29</t>
  </si>
  <si>
    <t>RV00020900065120017</t>
  </si>
  <si>
    <t>08/12/2564</t>
  </si>
  <si>
    <t>PR2-2565:6/7</t>
  </si>
  <si>
    <t>RV00020900065120061</t>
  </si>
  <si>
    <t>PR2-2565:6/8</t>
  </si>
  <si>
    <t>17/12/2564</t>
  </si>
  <si>
    <t>PL2-2565:1/44</t>
  </si>
  <si>
    <t>RV00020900065120120</t>
  </si>
  <si>
    <t>PL2-2565:1/46</t>
  </si>
  <si>
    <t>RV00020900065120121</t>
  </si>
  <si>
    <t>20/12/2564</t>
  </si>
  <si>
    <t>PL2-2565:1/47</t>
  </si>
  <si>
    <t>RV00020900065120124</t>
  </si>
  <si>
    <t>10/01/2565</t>
  </si>
  <si>
    <t>PL2-2565:2/9</t>
  </si>
  <si>
    <t>RV00020900065010046</t>
  </si>
  <si>
    <t>11/01/2565</t>
  </si>
  <si>
    <t>PR2-2565:9/36</t>
  </si>
  <si>
    <t>RV00020900065010054</t>
  </si>
  <si>
    <t>14/01/2565</t>
  </si>
  <si>
    <t>PR2-2565:10/8</t>
  </si>
  <si>
    <t>RV00020900065010078</t>
  </si>
  <si>
    <t>ผศ.ชวนพิศ ชุมคง</t>
  </si>
  <si>
    <t>สำนักงานเลขาธิการคุรุสภา</t>
  </si>
  <si>
    <t>08/02/2565</t>
  </si>
  <si>
    <t>PR2-2565:12/25</t>
  </si>
  <si>
    <t>RV00020900065020088</t>
  </si>
  <si>
    <t>ผศ.ดร.มาโนช ดินลานสกูล</t>
  </si>
  <si>
    <t>เงินงวดพิเศษ ก . ตามสัญญาเลขที่ 
RDG62H0016 สำหรับโครงการวิจัยเรื่อง 
ถอดบทเรียนการจัดค่ายพัฒนาการอ่าน
การเขียน : กรณีศึกษาสมาชิกกลุ่มวรรณกรรมคลื่นใหม่และกลุ่มนาคร</t>
  </si>
  <si>
    <t>PR2-2565:12/21</t>
  </si>
  <si>
    <t>RV00020900065020090</t>
  </si>
  <si>
    <t xml:space="preserve">รศ.ดร.กรกฎ ทองขะโชค </t>
  </si>
  <si>
    <t xml:space="preserve">สำนักงานคณะกรรมการ
สิทธิมนุษยชนแห่งชาติ </t>
  </si>
  <si>
    <t>PR2-2565:5/3</t>
  </si>
  <si>
    <t>รศ.ดร.สรพงค์ เบญจศรี</t>
  </si>
  <si>
    <t>PR2-2565:12/27</t>
  </si>
  <si>
    <t>RV00020900065020092</t>
  </si>
  <si>
    <t xml:space="preserve">สำนักงานกองทุนสนับสนุน
การสร้างเสริมสุขภาพ(สสส.)
ภายใต้โครงการศูนย์ศึกษา
ปัญหาการเสพติด </t>
  </si>
  <si>
    <t>18/02/2565</t>
  </si>
  <si>
    <t>PR2-2565:13/2</t>
  </si>
  <si>
    <t>RV00020900065020169</t>
  </si>
  <si>
    <t>01/03/2565</t>
  </si>
  <si>
    <t>PR2-2565:13/24</t>
  </si>
  <si>
    <t>RV00020900065030008</t>
  </si>
  <si>
    <t>สถาบันส่งเสริมการสอน
วิทยาศาสตร์และเทคโนโลยี</t>
  </si>
  <si>
    <t>PR2-2565:13/25</t>
  </si>
  <si>
    <t>RV00020900065030009</t>
  </si>
  <si>
    <t>10/03/2565</t>
  </si>
  <si>
    <t>PR2-2565:14/38</t>
  </si>
  <si>
    <t>RV00020900065030101</t>
  </si>
  <si>
    <t>หักครบถ้วน
แล้วใน
งวด 1-2</t>
  </si>
  <si>
    <t>PR2-2565:14/39</t>
  </si>
  <si>
    <t>PR2-2565:14/40</t>
  </si>
  <si>
    <t>PR2-2565:14/41</t>
  </si>
  <si>
    <t>RV00020900065030102</t>
  </si>
  <si>
    <t>นางสาวปริญญ์ ขวัญเรียง</t>
  </si>
  <si>
    <t>ปลัดกระทรวงการอุดม
ศึกษา วิทยาศาสตร์ วิจัย
และนวัตกรรม</t>
  </si>
  <si>
    <t>11/03/2565</t>
  </si>
  <si>
    <t>PR2-2565:14/44</t>
  </si>
  <si>
    <t>RV00020900065030109</t>
  </si>
  <si>
    <t>คณะมนุษยศาสตร์และ
สังคมศาสตร์</t>
  </si>
  <si>
    <t>30/03/2565</t>
  </si>
  <si>
    <t>PR2-2565:16/46</t>
  </si>
  <si>
    <t>RV00020900065030229</t>
  </si>
  <si>
    <t>PR2-2565:16/47</t>
  </si>
  <si>
    <t>PR2-2565:16/48</t>
  </si>
  <si>
    <t>PR2-2565:5/11</t>
  </si>
  <si>
    <t>RV00020900065120002</t>
  </si>
  <si>
    <t>บริษัท ไทยยูเนี่ยน ฟีดมิลด์ 
จำกัด (มหาชน)</t>
  </si>
  <si>
    <t>PR2-2565:5/19</t>
  </si>
  <si>
    <t>RV00020900065120006</t>
  </si>
  <si>
    <t>อ.ดร.พรวิชัย เต็มบุตร</t>
  </si>
  <si>
    <t>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1 
การประเมินประสิทธิภาพภาคสนามและ
การเฝ้าระวังหลังตลาดของชุดตรวจแลมป์
เปลี่ยนสีสำหรับการตรวจคัดกรองเชื้อไวรัส
โคโรน่าสายพันธุ์ใหม่ 2019 (COVID-19)</t>
  </si>
  <si>
    <t>PR2-2565:5/18</t>
  </si>
  <si>
    <t xml:space="preserve">สำหรับเงินสนับสนุนค่าธรรมเนียมอุดหนุนสถาบันตามแหล่งเงินกำหนดจากโครงการ
วิจัยจากหน่วยบริหารจัดการทุนด้านการเพิ่ม
ความสามารถในการแข่งขันของประเทศ และ
สำนักงานการวิจัยแห่งชาติ  โครงการที่ 2 
การประเมินประสิทธิภาพและความปลอดภัยของผลิตภัณฑ์สมุนไพรพืชกระท่อมเพื่อสุขภาพ </t>
  </si>
  <si>
    <t>30/12/2564</t>
  </si>
  <si>
    <t>PR2-2565:7/39</t>
  </si>
  <si>
    <t>RV00020900065120199</t>
  </si>
  <si>
    <t>PR2-2565:10/7</t>
  </si>
  <si>
    <t>RV00020900065010079</t>
  </si>
  <si>
    <t>หักส่งใน
งวดสุดท้าย
และ
งบลงทุน
ได้รับยกเว้น</t>
  </si>
  <si>
    <t>PR2-2565:12/24</t>
  </si>
  <si>
    <t>RV00020900065020089</t>
  </si>
  <si>
    <t>09/03/2565</t>
  </si>
  <si>
    <t>PR2-2565:14/34</t>
  </si>
  <si>
    <t>RV00020900065030094</t>
  </si>
  <si>
    <t xml:space="preserve">งบบริหารจัดการชุดโครงการวิจัย : 
เพิ่มศักยภาพครูให้มีสมรรถนะของครูยุคใหม่
สำหรับการเรียนรู้ศตวรรษที่ 21 (ต่อเนื่องปีที่ 
3 ปี 2565): โครงการวิจัยย่อย 1 การประเมิน
เชิงพัฒนานวัตกรรมโรงเรียนประกอบการ
ฐานชุมชน เพื่อหนุนเสริมสมรรถนะเทคโนโลยี
ดิจิทัลและทักษะเชิงอนาคตสำหรับนักเรียน
มัธยมศึกษา โรงเรียนในพื้นที่นวัตกรรม
การศึกษาจังหวัดสตูลและชายแดนใต้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</si>
  <si>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2 รูปแบบผู้นำ
การขับเคลื่อนนวัตกรรมเพื่อส่งเสริมสมรรถนะ
ของผู้เรียนด้านวิทยาศาสตร์ คณิตศาสตร์และเทคโนโลยีที่บูรณาการกับศักยภาพเชิงพื้นที่ 
ภายใต้พื้นที่นวัตกรรมการศึกษา </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</si>
  <si>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โครงการวิจัยย่อย 3 การพัฒนา
รูปแบบการจัดการเรียนรู้โดยใช้โครงงาน
เป็นฐานร่วมกับ Project 14 เพื่อลดความ
เหลื่อมล้ำตามปรัชญาเศรษฐกิจพอเพียง 
โรงเรียนพื้นที่เกาะ จังหวัดสตูล </t>
  </si>
  <si>
    <t>รศ.ดร.กนกพร สังขรักษ์</t>
  </si>
  <si>
    <t xml:space="preserve">งบบริหารจัดการชุดโครงการวิจัย : 
เพิ่มศักยภาพครูให้มีสมรรถนะของครูยุคใหม่สำหรับการเรียนรู้ศตวรรษที่ 21 (ต่อเนื่องปีที่ 
3 ปี 2565) : โครงการวิจัยย่อย 4 โครงการอบรมปฏิบัติการ GLOBE Academy : train 
the trainer ในพื้นที่นวัตกรรมการศึกษา
จังหวัดสตูลและจังหวัดชายแดนใต้ </t>
  </si>
  <si>
    <t>นางสาวพิมพ์ประภา ชัยจักร</t>
  </si>
  <si>
    <t>PR2-2565:14/48</t>
  </si>
  <si>
    <t>RV00020900065030107</t>
  </si>
  <si>
    <t>PR2-2565:14/45</t>
  </si>
  <si>
    <t>RV00020900065030108</t>
  </si>
  <si>
    <t>สถาบันเทคโนโลยีนิวเคลียร์แห่งชาติ (องค์การมหาชน)</t>
  </si>
  <si>
    <t>16/03/2565</t>
  </si>
  <si>
    <t>PR2-2565:15/12</t>
  </si>
  <si>
    <t>RV00020900065030138</t>
  </si>
  <si>
    <t>ผศ.ดร.อมรรัตน์ ถนนแก้ว</t>
  </si>
  <si>
    <t>เงินค่าธรรมเนียมอุดหนุนสถาบันให้
มหาวิทยาลัยทักษิณ เนื่องจากใช้บุคลากร
ของมหาวิทยาลัยเข้าร่วมดำเนินโครงการวิจัย 
(ภายใต้โครงการวิจัยบริหารจัดการของ
มหาวิทยาลัยสงขลานครินทร์ ซึ่งทางหน่วยงาน
ที่ร่วมไม่ได้จัดสรรงบดำเนินการสำหรับการวิจัยให้กับมหาวิทยาลัยทักษิณ) ตามสัญญาร่วมทุนภายใต้โครงการ การยกระดับการผลิตส่วนประกอบฟังก์ชั่นจากข้าวมีสีอัตลักษณ์ไทยสู่การใช้ประโยชน์เชิงพาณิชย์ : กรณีนำร่องข้าวสังข์หยด (ภายใต้แผนงาน การขับเคลื่อนเศรษฐกิจชีวภาพ-เศรษฐกิจหมุนเวียน-เศรษฐกิจสีเขียว)</t>
  </si>
  <si>
    <t>18/03/2565</t>
  </si>
  <si>
    <t>PR2-2565:15/22</t>
  </si>
  <si>
    <t>RV00020900065030160</t>
  </si>
  <si>
    <t>21/03/2565</t>
  </si>
  <si>
    <t>PR2-2565:15/26</t>
  </si>
  <si>
    <t>RV00020900065030164</t>
  </si>
  <si>
    <t>ผู้ช่วยศาสตราจารย์ถาวร จันทโชติ</t>
  </si>
  <si>
    <t xml:space="preserve">หักส่งใน
งวดสุดท้าย
</t>
  </si>
  <si>
    <t>23/03/2565</t>
  </si>
  <si>
    <t>PR2-2565:15/44</t>
  </si>
  <si>
    <t>RV00020900065030184</t>
  </si>
  <si>
    <t>PR2-2565:16/49</t>
  </si>
  <si>
    <t>RV00020900065030228</t>
  </si>
  <si>
    <t>ยกเว้น
ค่าธรรมเนียม</t>
  </si>
  <si>
    <t>17/05/2565</t>
  </si>
  <si>
    <t>PR2-2565:22/3</t>
  </si>
  <si>
    <t>RV00020900065050117</t>
  </si>
  <si>
    <t>สำนักงานปลัดกระทรวง
การอุดมศึกษา 
วิทยาศาสตร์ วิจัยและ
นวัตกรรม</t>
  </si>
  <si>
    <t>PR2-2565:22/4</t>
  </si>
  <si>
    <t>RV00020900065050118</t>
  </si>
  <si>
    <t>23/05/2565</t>
  </si>
  <si>
    <t>PR2-2565:23/21</t>
  </si>
  <si>
    <t>RV00020900065050182</t>
  </si>
  <si>
    <t xml:space="preserve">ศูนย์อำนวยการบริหาร
จังหวัดชายแดนภาคใต้ </t>
  </si>
  <si>
    <t>25/05/2565</t>
  </si>
  <si>
    <t>PR2-2565:24/32</t>
  </si>
  <si>
    <t>RV00020900065050219</t>
  </si>
  <si>
    <t>ดร.ระวีวัฒน์ ไทยเจริญ</t>
  </si>
  <si>
    <t>สำนักงานสภานโยบาย
การอุดมศึกษา 
วิทยาศาสตร์ วิจัยและ
นวัตกรรมแห่งชาติ</t>
  </si>
  <si>
    <t>15/06/2565</t>
  </si>
  <si>
    <t>RV00020900065060165</t>
  </si>
  <si>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</si>
  <si>
    <t>PR2-2565:29/4</t>
  </si>
  <si>
    <t>RV00020900065060166</t>
  </si>
  <si>
    <t>16/06/2565</t>
  </si>
  <si>
    <t>PR2-2565:29/7</t>
  </si>
  <si>
    <t>RV00020900065060171</t>
  </si>
  <si>
    <t>PR2-2565:29/8</t>
  </si>
  <si>
    <t>RV00020900065060172</t>
  </si>
  <si>
    <t>อ.อัฎฐพล เทพยา</t>
  </si>
  <si>
    <t>21/06/2565</t>
  </si>
  <si>
    <t>PR2-2565:29/26</t>
  </si>
  <si>
    <t>RV00020900065060195</t>
  </si>
  <si>
    <t>27/06/2565</t>
  </si>
  <si>
    <t>PR2-2565:31/19</t>
  </si>
  <si>
    <t>RV00020900065060259</t>
  </si>
  <si>
    <t>สำนักงานคณะกรรมการ
สิทธิมนุษยชนแห่งชาติ</t>
  </si>
  <si>
    <t>28/06/2565</t>
  </si>
  <si>
    <t>PR2-2565:31/23</t>
  </si>
  <si>
    <t>RV00020900065060270</t>
  </si>
  <si>
    <t>อ.จิราพร คงรอด</t>
  </si>
  <si>
    <t>หักในงวดสุดท้าย</t>
  </si>
  <si>
    <t>PR2-2565:31/24</t>
  </si>
  <si>
    <t>RV00020900065060271</t>
  </si>
  <si>
    <t>อ.ลัดดา ประสาร</t>
  </si>
  <si>
    <t>ผศ.ดร.ก้องกิดากร บุญช่วย</t>
  </si>
  <si>
    <t>30/06/2565</t>
  </si>
  <si>
    <t>PR2-2565:31/45</t>
  </si>
  <si>
    <t>RV00020900065060312</t>
  </si>
  <si>
    <t>รศ.ดร.สมพงศ์ โอทอง</t>
  </si>
  <si>
    <t xml:space="preserve">บริษัท ไทยอีสเทิร์น 
ไบโอ พาวเวอร์ จำกัด </t>
  </si>
  <si>
    <t>06/07/2565</t>
  </si>
  <si>
    <t>PR2-2565:33/2</t>
  </si>
  <si>
    <t>RV00020900065070073</t>
  </si>
  <si>
    <t>มูลนิธิคลองโต๊ะเหล็ม
อะคาเดมี</t>
  </si>
  <si>
    <t>PR2-2565:33/4</t>
  </si>
  <si>
    <t>RV00020900065070075</t>
  </si>
  <si>
    <t xml:space="preserve">อ.ดร.นิจกานต์ หนูอุไร </t>
  </si>
  <si>
    <t xml:space="preserve">ห้างหุ้นส่วนจำกัด เคยนิคะ </t>
  </si>
  <si>
    <t>19/07/2565</t>
  </si>
  <si>
    <t>PR2-2565:34/11</t>
  </si>
  <si>
    <t>RV00020900065070123</t>
  </si>
  <si>
    <t>21/07/2565</t>
  </si>
  <si>
    <t>PR2-2565:34/17</t>
  </si>
  <si>
    <t>RV00020900065070133</t>
  </si>
  <si>
    <t>รศ.ดร.พรพันธุ์ เขมคุณาศัย</t>
  </si>
  <si>
    <t>15/08/2565</t>
  </si>
  <si>
    <t>PL2-2565:3/25</t>
  </si>
  <si>
    <t>RV00020900065080213</t>
  </si>
  <si>
    <t>18/08/2565</t>
  </si>
  <si>
    <t>PR2-2565:38/35</t>
  </si>
  <si>
    <t>RV00020900065080273</t>
  </si>
  <si>
    <t>05/09/2565</t>
  </si>
  <si>
    <t>PR2-2565:41/16</t>
  </si>
  <si>
    <t>RV00020900065090048</t>
  </si>
  <si>
    <t>13/09/2565</t>
  </si>
  <si>
    <t>PR2-2565:42/48</t>
  </si>
  <si>
    <t>RV00020900065090257</t>
  </si>
  <si>
    <t>PR2-2565:42/47</t>
  </si>
  <si>
    <t xml:space="preserve">RV00020900065090258
และ
JV00020900065090017
</t>
  </si>
  <si>
    <t>สำนักงานกองทุน
เพื่อความเสมอภาค
ทางการศึกษา</t>
  </si>
  <si>
    <t>19/09/2565</t>
  </si>
  <si>
    <t>PR2-2565:44/37</t>
  </si>
  <si>
    <t>RV00020900065090369</t>
  </si>
  <si>
    <t>29/09/2565</t>
  </si>
  <si>
    <t>PR2-2565:46/28</t>
  </si>
  <si>
    <t>RV00020900065090596</t>
  </si>
  <si>
    <t>รศ.ดร.ณฐพงศ์ จิตรนิรัตน์</t>
  </si>
  <si>
    <t xml:space="preserve">เงินงวดพิเศษ ก . ตามสัญญาเลขที่ RDG62H0011 สำหรับโครงการวิจัยเรื่อง 
คนจนเมืองที่เปลี่ยนไปในสังคมเมืองที่กำลังเปลี่ยนแปลง : กรณีศึกษาจังหวัดสงขลา </t>
  </si>
  <si>
    <t>RV00020900065090597</t>
  </si>
  <si>
    <t>องค์กรปกครองส่วนท้องถิ่น
จำนวน 23 หน่วยงาน</t>
  </si>
  <si>
    <t>JV00020900065090210</t>
  </si>
  <si>
    <t>ยกเว้นค่าธรรมเนียมทุนวิจัยร่วม</t>
  </si>
  <si>
    <t>JV00020900065090204</t>
  </si>
  <si>
    <t>JV00020900065090211</t>
  </si>
  <si>
    <t>JV00020900065090209</t>
  </si>
  <si>
    <t xml:space="preserve">อ.ดร.วิชชาญ จุลหริก </t>
  </si>
  <si>
    <t>JV00020900065090206</t>
  </si>
  <si>
    <t>JV00020900065090212</t>
  </si>
  <si>
    <t>JV00020900065090208</t>
  </si>
  <si>
    <t>ยกเว้นค่าธรรมเนียมในงวดที่ 2</t>
  </si>
  <si>
    <t>JV00020900065090203</t>
  </si>
  <si>
    <t>JV00020900065090207</t>
  </si>
  <si>
    <t>JV00020900065090200</t>
  </si>
  <si>
    <t>ทุนอุดหนุนดำเนินการวิจัยแผนงานวิจัยเรื่อง การสำรวจความพึงพอใจของประชาชนที่มี
ต่อผลการดำเนินงานขององค์กรปกครองส่วน
ท้องถิ่น ประจำปีงบประมาณ พ.ศ. 2565</t>
  </si>
  <si>
    <t>JV00020900065090201</t>
  </si>
  <si>
    <t>องค์กรปกครองส่วนท้องถิ่น
จำนวน 102 หน่วยงาน</t>
  </si>
  <si>
    <t>JV00020900065090214</t>
  </si>
  <si>
    <t>หักส่งครบถ้วนในงวดที่ 1-3</t>
  </si>
  <si>
    <t>RV00020900065020091
JV00020900065020012</t>
  </si>
  <si>
    <t>หักครบถ้วน
แล้วใน
งวดที่ 1-2</t>
  </si>
  <si>
    <t>08/04/2565</t>
  </si>
  <si>
    <t>PR2-2565:17/45</t>
  </si>
  <si>
    <t>RV00020900065040089</t>
  </si>
  <si>
    <t>DSM NUTRITIONAL 
PRODUCTS (THAILAND) 
Ltd.</t>
  </si>
  <si>
    <t>05/05/2565</t>
  </si>
  <si>
    <t>PR2-2565:20/3</t>
  </si>
  <si>
    <t>RV00020900065050037</t>
  </si>
  <si>
    <t>PR2-2565:22/5</t>
  </si>
  <si>
    <t>RV00020900065050116</t>
  </si>
  <si>
    <t>บริษัท BASF New
 Business Gmbh</t>
  </si>
  <si>
    <t>24/05/2565</t>
  </si>
  <si>
    <t>PR2-2565:24/26</t>
  </si>
  <si>
    <t>RV00020900065050189</t>
  </si>
  <si>
    <t>PR2-2565:24/33</t>
  </si>
  <si>
    <t>RV00020900065050220</t>
  </si>
  <si>
    <t>27/05/2565</t>
  </si>
  <si>
    <t>PR2-2565:25/31</t>
  </si>
  <si>
    <t>RV00020900065050249</t>
  </si>
  <si>
    <t>14/06/2565</t>
  </si>
  <si>
    <t>PR2-2565:28/50</t>
  </si>
  <si>
    <t>RV00020900065060143</t>
  </si>
  <si>
    <t>รศ.ดร. ณฐพงศ์ จิตรนิรัตน์</t>
  </si>
  <si>
    <t>PR2-2565:29/9</t>
  </si>
  <si>
    <t>RV00020900065060170</t>
  </si>
  <si>
    <t>อ.ดร.วิกาญดา ทองเนื้อแข็ง</t>
  </si>
  <si>
    <t>PR2-2565:31/17</t>
  </si>
  <si>
    <t>RV00020900065060260</t>
  </si>
  <si>
    <t xml:space="preserve">สำหรับเงินสนับสนุนค่าธรรมเนียมอุดหนุนสถาบันตามแหล่งเงินกำหนด (เงินสนับสนุน
จากโครงการวิจัยจากหน่วยบริหารจัดการทุน
ด้านการเพิ่มความสามารถในการแข่งขันของ
ประเทศ และสำนักงานการวิจัยแห่งชาติ) 
สำหรับโครงการที่ 2 การประเมินประสิทธิภาพ
และความปลอดภัยของผลิตภัณฑ์สมุนไพรพืช
กระท่อมเพื่อสุขภาพ </t>
  </si>
  <si>
    <t>ผศ.ดร.เตือนตา ร่าหมาน</t>
  </si>
  <si>
    <t>ดร.วีระวุฒิ แนบเพชร</t>
  </si>
  <si>
    <t>รศ.ดร.จตุพร แก้วอ่อน</t>
  </si>
  <si>
    <t>PR2-2565:31/46</t>
  </si>
  <si>
    <t>RV00020900065060315</t>
  </si>
  <si>
    <t>PR2-2565:33/3</t>
  </si>
  <si>
    <t>RV00020900065070074</t>
  </si>
  <si>
    <t>ผศ.ดร.กฤษฎา พัชรสิทธิ์</t>
  </si>
  <si>
    <t>บริษัท ณิชนันทน์การค้า 
ATK58</t>
  </si>
  <si>
    <t>ยกเว้น
ค่าธรรมเนียม
การวิจัย</t>
  </si>
  <si>
    <t>อ.ดร.ทิพย์ทิวา สัมพันธมิตร</t>
  </si>
  <si>
    <t>PR2-2565:5/7</t>
  </si>
  <si>
    <t>RV00020900065080274
JV00020900065080021</t>
  </si>
  <si>
    <t>สำนักงานการวิจัยแห่งชาติ (วช.)</t>
  </si>
  <si>
    <t>22/08/2565</t>
  </si>
  <si>
    <t>PR2-2565:39/1</t>
  </si>
  <si>
    <t>RV00020900065080303</t>
  </si>
  <si>
    <t>หักครบแล้วในงวดที่ 3</t>
  </si>
  <si>
    <t>PR2-2564:41/15</t>
  </si>
  <si>
    <t xml:space="preserve">RV00020900065090047
และ
JV00020900065090009
</t>
  </si>
  <si>
    <t>สำนักส่งเสริมการบริการ
วิชาการและภูมิปัญญา
ชุมชน</t>
  </si>
  <si>
    <t>PR2-2565:44/41</t>
  </si>
  <si>
    <t>RV00020900065090370</t>
  </si>
  <si>
    <t>นางสาวมาณี แก้วชนิด</t>
  </si>
  <si>
    <t xml:space="preserve">บริษัทซิกคอร์ (SICCOR) 
จำกัด </t>
  </si>
  <si>
    <t>JV00020900065090213</t>
  </si>
  <si>
    <t>JV00020900065090225</t>
  </si>
  <si>
    <t>หักส่งครบถ้วนในงวดที่ 1</t>
  </si>
  <si>
    <t>JV00020900065090229</t>
  </si>
  <si>
    <t>มหาวิทยาลัยทักษิณ</t>
  </si>
  <si>
    <t>ประจำปีงบประมาณ พ.ศ. 2565   ตั้งแต่วันที่  1  ตุลาคม 2564  ถึงวันที่ 30 กันยายน 2565</t>
  </si>
  <si>
    <t>ส่วนงาน / หน่วยงาน</t>
  </si>
  <si>
    <t xml:space="preserve">จัดสรรให้แก่กองทุนวิจัย ม. ทักษิณ
</t>
  </si>
  <si>
    <t xml:space="preserve">จัดสรรให้แก่สำนักงาน/คณะ/สาขาของนักวิจัย
</t>
  </si>
  <si>
    <r>
      <rPr>
        <b/>
        <u/>
        <sz val="12"/>
        <color indexed="8"/>
        <rFont val="Angsana New"/>
        <family val="1"/>
      </rPr>
      <t>ยกเว้น</t>
    </r>
    <r>
      <rPr>
        <b/>
        <sz val="12"/>
        <color indexed="8"/>
        <rFont val="Angsana New"/>
        <family val="1"/>
      </rPr>
      <t xml:space="preserve">
ค่าธรรมเนียมการวิจัย</t>
    </r>
  </si>
  <si>
    <t>รวมทั้งสิ้น</t>
  </si>
  <si>
    <t>รายละเอียดรายได้เพื่อการวิจัยจากแหล่งทุนภายนอก</t>
  </si>
  <si>
    <r>
      <rPr>
        <b/>
        <u/>
        <sz val="13"/>
        <color indexed="8"/>
        <rFont val="Angsana New"/>
        <family val="1"/>
      </rPr>
      <t>ยกเว้น</t>
    </r>
    <r>
      <rPr>
        <b/>
        <sz val="13"/>
        <color indexed="8"/>
        <rFont val="Angsana New"/>
        <family val="1"/>
      </rPr>
      <t xml:space="preserve">
ค่าธรรมเนียม
การวิจัย</t>
    </r>
  </si>
  <si>
    <r>
      <t xml:space="preserve">ทุนสนับสนุนการวิจัย เรื่อง การพัฒนา
กระถางปลูกพืชย่อยได้จากวัสดุเศษเหลือ
ปาล์มน้ำมัน 
</t>
    </r>
    <r>
      <rPr>
        <b/>
        <sz val="13"/>
        <color indexed="10"/>
        <rFont val="Angsana New"/>
        <family val="1"/>
      </rPr>
      <t>งบประมาณทั้งสิ้น 835,000.00 บาท</t>
    </r>
  </si>
  <si>
    <r>
      <t xml:space="preserve">ทุนอุดหนุนการทำกิจกรรมส่งเสริมและ
สนับสนุนการวิจัยและนวัตกรรม เรื่อง 
การพัฒนาการผลิตไก่คอล่อนเชิงพาณิชย์ในจังหวัดพัทลุง งวดที่ 3
</t>
    </r>
    <r>
      <rPr>
        <b/>
        <sz val="13"/>
        <color indexed="10"/>
        <rFont val="Angsana New"/>
        <family val="1"/>
      </rPr>
      <t xml:space="preserve">วงเงินทั้งสิ้น 650,000 บาท </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</si>
  <si>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1
</t>
    </r>
    <r>
      <rPr>
        <b/>
        <sz val="13"/>
        <color indexed="10"/>
        <rFont val="Angsana New"/>
        <family val="1"/>
      </rPr>
      <t xml:space="preserve">วงเงินทั้งสิ้น 400,000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</si>
  <si>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1
</t>
    </r>
    <r>
      <rPr>
        <b/>
        <sz val="13"/>
        <color indexed="10"/>
        <rFont val="Angsana New"/>
        <family val="1"/>
      </rPr>
      <t xml:space="preserve">งบประมาณทั้งสิ้น 1,530,000 บาท </t>
    </r>
  </si>
  <si>
    <r>
      <t xml:space="preserve">สำหรับทุนสนับสนุนการวิจัย เรื่อง แพะ หวะ 
ทักษะอาชีพแห่งอนาคต 
</t>
    </r>
    <r>
      <rPr>
        <b/>
        <sz val="13"/>
        <color indexed="10"/>
        <rFont val="Angsana New"/>
        <family val="1"/>
      </rPr>
      <t xml:space="preserve">งบประมาณทั้งสิ้น 700,000 บาท </t>
    </r>
  </si>
  <si>
    <r>
      <t xml:space="preserve">ทุนอุดหนุนการทำกิจกรรมส่งเสริมและ
สนับสนุนการวิจัยและนวัตกรรม เรื่อง 
การพัฒนาการผลิตไก่คอล่อนเชิงพาณิชย์
ในจังหวัดพัทลุง เงินประกันผลงาน
</t>
    </r>
    <r>
      <rPr>
        <b/>
        <sz val="13"/>
        <color indexed="10"/>
        <rFont val="Angsana New"/>
        <family val="1"/>
      </rPr>
      <t>วงเงินงบประมาณทั้งสิ้น 650,000 บาท</t>
    </r>
  </si>
  <si>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2
</t>
    </r>
    <r>
      <rPr>
        <b/>
        <sz val="13"/>
        <color indexed="10"/>
        <rFont val="Angsana New"/>
        <family val="1"/>
      </rPr>
      <t xml:space="preserve">วงเงินทั้งสิ้น 400,000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</si>
  <si>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</si>
  <si>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t>
    </r>
    <r>
      <rPr>
        <b/>
        <sz val="13"/>
        <color indexed="10"/>
        <rFont val="Angsana New"/>
        <family val="1"/>
      </rPr>
      <t xml:space="preserve">งบประมาณทั้งสิ้น 499,444.00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</si>
  <si>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1 (เงินประกันผลงาน)
</t>
    </r>
    <r>
      <rPr>
        <b/>
        <sz val="13"/>
        <color indexed="10"/>
        <rFont val="Angsana New"/>
        <family val="1"/>
      </rPr>
      <t xml:space="preserve">งบประมาณทั้งสิ้น 500,000.00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</si>
  <si>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</si>
  <si>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2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</si>
  <si>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งวดที่ 3 (เงินประกันผลงาน)
</t>
    </r>
    <r>
      <rPr>
        <b/>
        <sz val="13"/>
        <color indexed="10"/>
        <rFont val="Angsana New"/>
        <family val="1"/>
      </rPr>
      <t xml:space="preserve">งบประมาณทั้งสิ้น 499,444.00 บาท </t>
    </r>
  </si>
  <si>
    <r>
      <t xml:space="preserve">ตามสัญญาจ้างที่ปรึกษา เลขที่ 23/2564  
จ้างที่ปรึกษาปฏิบัติงานตามโครงการส่งเสริม
สิทธิเสรีภาพและสิทธิมนุษยชนในพื้นที่จังหวัด
ชายแดนภาคใต้ กิจกรรมศึกษาและสรุปผล
การเรียนรู้ด้านสิทธิมนุษยชนที่สอดคล้องกับ
บริบทการศึกษาพหุวัฒนธรรมในพื้นที่จังหวัด
ชายแดนภาคใต้ เงินประกันผลงานงวดที่ 1
</t>
    </r>
    <r>
      <rPr>
        <b/>
        <sz val="13"/>
        <color indexed="10"/>
        <rFont val="Angsana New"/>
        <family val="1"/>
      </rPr>
      <t xml:space="preserve">งบประมาณทั้งสิ้น 499,444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</si>
  <si>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2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</si>
  <si>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งวดที่ 3
</t>
    </r>
    <r>
      <rPr>
        <b/>
        <sz val="13"/>
        <color indexed="10"/>
        <rFont val="Angsana New"/>
        <family val="1"/>
      </rPr>
      <t xml:space="preserve">งบประมาณทั้งสิ้น 500,000.00 บาท </t>
    </r>
  </si>
  <si>
    <r>
      <t xml:space="preserve">ตามสัญญาจ้างที่ปรึกษา เลขที่ 159/2564 
ตกลงจ้างที่ปรึกษาโครงการจัดทำข้อเสนอแนะ
มาตรการ หรือแนวทางในการเพิ่มประสิทธิภาพ
การปฏิบัติงานตามพระราชบัญญัติสัญชาติ 
(ฉบับที่ 5) พ.ศ.2555 เพื่อส่งเสริมและคุ้มครอง
สิทธิมนุษยชน เงินประกันผลงานงวดที่ 1-3
</t>
    </r>
    <r>
      <rPr>
        <b/>
        <sz val="13"/>
        <color indexed="10"/>
        <rFont val="Angsana New"/>
        <family val="1"/>
      </rPr>
      <t xml:space="preserve">งบประมาณทั้งสิ้น 500,000.00 บาท </t>
    </r>
  </si>
  <si>
    <r>
      <t xml:space="preserve">ทุนสนับสนุนการวิจัย เรื่อง การเสริมสร้าง
ศักยภาพเยาวชนเพื่อลดความเหลื่อมล้าทาง
เศรษฐกิจ การศึกษา และวัฒนธรรมโดยการมี
ส่วนร่วมของเครือข่ายพลังทางสังคมของท้องถิ่น
ในบริบทพหุวัฒนธรรมชายแดนใต้ 
</t>
    </r>
    <r>
      <rPr>
        <b/>
        <sz val="13"/>
        <color indexed="10"/>
        <rFont val="Angsana New"/>
        <family val="1"/>
      </rPr>
      <t>งบประมาณทั้งสิ้น 600,000 บาท</t>
    </r>
  </si>
  <si>
    <r>
      <t xml:space="preserve">ทุนสนับสนุนการวิจัย เรื่อง การรักษาสืบสาน
การเล่นกลองบานอร่วมสมัยของเยาวชน
มลายูมุสลิมโดยชุมชนเครือข่ายบานอ
จังหวัดนราธิวาสเพื่อลดความเหลื่อมล้า
ด้านวัฒนธรรม 
</t>
    </r>
    <r>
      <rPr>
        <b/>
        <sz val="13"/>
        <color indexed="10"/>
        <rFont val="Angsana New"/>
        <family val="1"/>
      </rPr>
      <t xml:space="preserve">งบประมาณทั้งสิ้น 341,900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</si>
  <si>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1
</t>
    </r>
    <r>
      <rPr>
        <b/>
        <sz val="13"/>
        <color indexed="10"/>
        <rFont val="Angsana New"/>
        <family val="1"/>
      </rPr>
      <t xml:space="preserve">งบประมาณทั้งสิ้น 20,000 บาท </t>
    </r>
  </si>
  <si>
    <r>
      <t xml:space="preserve">ตามสัญญาจ้างผู้เชี่ยวชาญรายบุคคลหรือ
จ้างบริษัทที่ปรึกษา เลขที่ 0004/2564 
โครงการสำรวจความพึงพอใจของผู้รับบริการ
ที่มีต่อการให้บริการสาธารณะขององค์การบริการส่วนจังหวัดภูเก็ต ประจำปีงบประมาณ 
พ.ศ.2564 งวดที่ 2
</t>
    </r>
    <r>
      <rPr>
        <b/>
        <sz val="13"/>
        <color indexed="10"/>
        <rFont val="Angsana New"/>
        <family val="1"/>
      </rPr>
      <t xml:space="preserve">วงเงินตามสัญญา 79,092.00 บาท </t>
    </r>
  </si>
  <si>
    <r>
      <t xml:space="preserve">ตามใบสั่งจ้างเลขที่ 496/2564 สำหรับเงินจ้าง
สำรวจความพึงพอใจของผู้รับบริการที่มีต่อ
การให้บริการสาธารณะของเทศบาลตำบล
สะบ้าย้อย งวดที่ 2
</t>
    </r>
    <r>
      <rPr>
        <b/>
        <sz val="13"/>
        <color indexed="10"/>
        <rFont val="Angsana New"/>
        <family val="1"/>
      </rPr>
      <t xml:space="preserve">งบประมาณทั้งสิ้น 20,000 บาท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</si>
  <si>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1 </t>
    </r>
    <r>
      <rPr>
        <b/>
        <sz val="13"/>
        <color indexed="10"/>
        <rFont val="Angsana New"/>
        <family val="1"/>
      </rPr>
      <t>งบประมาณทั้งสิ้น 183,932.00 บาท</t>
    </r>
    <r>
      <rPr>
        <sz val="13"/>
        <color indexed="8"/>
        <rFont val="Angsana New"/>
        <family val="1"/>
      </rPr>
      <t xml:space="preserve"> </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</si>
  <si>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1
</t>
    </r>
    <r>
      <rPr>
        <b/>
        <sz val="13"/>
        <color indexed="10"/>
        <rFont val="Angsana New"/>
        <family val="1"/>
      </rPr>
      <t>งบประมาณทั้งสิ้น 360,000.00 บาท</t>
    </r>
  </si>
  <si>
    <r>
      <t xml:space="preserve">ตามบันทึกข้อตกลงความร่วมมือ โครงการ
ใช้เทคโนโลยีและนวัตกรรมเพื่อการบริหาร
จัดการฟาร์ม และสร้างความเป็นอัตลักษณ์
ให้กับผลิตภัณฑ์ปศุสัตว์ภาคใต้ชายแดน 
ปีงบประมาณ พ.ศ.2565 งวดที่ 1  
</t>
    </r>
    <r>
      <rPr>
        <b/>
        <sz val="13"/>
        <color indexed="10"/>
        <rFont val="Angsana New"/>
        <family val="1"/>
      </rPr>
      <t>งบประมาณทั้งสิ้น 1,610,000.00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</si>
  <si>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1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</si>
  <si>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1
</t>
    </r>
    <r>
      <rPr>
        <b/>
        <sz val="13"/>
        <color indexed="10"/>
        <rFont val="Angsana New"/>
        <family val="1"/>
      </rPr>
      <t>งบประมาณทั้งสิ้น 735,240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</si>
  <si>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1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</si>
  <si>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1 </t>
    </r>
    <r>
      <rPr>
        <b/>
        <sz val="13"/>
        <color indexed="10"/>
        <rFont val="Angsana New"/>
        <family val="1"/>
      </rPr>
      <t>งบประมาณโครงการทั้งสิ้น 1,248,300 บ.</t>
    </r>
  </si>
  <si>
    <r>
      <t xml:space="preserve">ตามบันทึกข้อตกลงความร่วมมือ โครงการใช้
เทคโนโลยีและนวัตกรรมเพื่อการบริหารจัดการ
ฟาร์ม และสร้างความเป็นอัตลักษณ์ให้กับ
ผลิตภัณฑ์ปศุสัตว์ภาคใต้ชายแดน 
ปีงบประมาณ พ.ศ.2565 งวดที่ 2 
</t>
    </r>
    <r>
      <rPr>
        <b/>
        <sz val="13"/>
        <color indexed="10"/>
        <rFont val="Angsana New"/>
        <family val="1"/>
      </rPr>
      <t xml:space="preserve">งบประมาณทั้งสิ้น 1,610,000.00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</si>
  <si>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1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</si>
  <si>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งวดที่ 2 </t>
    </r>
    <r>
      <rPr>
        <b/>
        <sz val="13"/>
        <color indexed="10"/>
        <rFont val="Angsana New"/>
        <family val="1"/>
      </rPr>
      <t xml:space="preserve">งบประมาณทั้งสิ้น 183,932.00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</si>
  <si>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2 
</t>
    </r>
    <r>
      <rPr>
        <b/>
        <sz val="13"/>
        <color indexed="10"/>
        <rFont val="Angsana New"/>
        <family val="1"/>
      </rPr>
      <t>วงเงินงบประมาณทั้งสิ้น 2,789,000 บาท</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</si>
  <si>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2
</t>
    </r>
    <r>
      <rPr>
        <b/>
        <sz val="13"/>
        <color indexed="10"/>
        <rFont val="Angsana New"/>
        <family val="1"/>
      </rPr>
      <t>งบประมาณทั้งสิ้น 735,240 บาท</t>
    </r>
    <r>
      <rPr>
        <sz val="13"/>
        <color indexed="8"/>
        <rFont val="Angsana New"/>
        <family val="1"/>
      </rPr>
      <t xml:space="preserve">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</si>
  <si>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1
</t>
    </r>
    <r>
      <rPr>
        <b/>
        <sz val="13"/>
        <color indexed="10"/>
        <rFont val="Angsana New"/>
        <family val="1"/>
      </rPr>
      <t xml:space="preserve">งบประมาณทั้งสิ้น 1,645,322.00 บาท </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</si>
  <si>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</si>
  <si>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2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</si>
  <si>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3
</t>
    </r>
    <r>
      <rPr>
        <b/>
        <sz val="13"/>
        <color indexed="10"/>
        <rFont val="Angsana New"/>
        <family val="1"/>
      </rPr>
      <t>วงเงินงบประมาณทั้งสิ้น 2,789,000 บาท</t>
    </r>
  </si>
  <si>
    <r>
      <t xml:space="preserve">ตามสัญญาเลขที่ 20/2565 สัญญาจ้าง
ผู้เชี่ยวชาญรายบุคคลหรือจ้างบริษัทที่ปรึกษา 
ว่าจ้างที่ปรึกษาปฏิบัติงานดำเนินกิจกรรม
ศึกษาวิเคราะห์ผลกระทบจากการดำเนินงาน
โครงการของศูนย์อำนวยการบริหารจังหวัด
ชายแดนภาคใต้ (วิธีเฉพาะเจาะจง) 
เงินประกันผลงานงวดที่ 1
</t>
    </r>
    <r>
      <rPr>
        <b/>
        <sz val="13"/>
        <color indexed="10"/>
        <rFont val="Angsana New"/>
        <family val="1"/>
      </rPr>
      <t>วงเงินงบประมาณทั้งสิ้น 2,789,000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</si>
  <si>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2
</t>
    </r>
    <r>
      <rPr>
        <b/>
        <sz val="13"/>
        <color indexed="10"/>
        <rFont val="Angsana New"/>
        <family val="1"/>
      </rPr>
      <t xml:space="preserve">งบประมาณทั้งสิ้น 681,978.00 บาท </t>
    </r>
  </si>
  <si>
    <r>
      <t xml:space="preserve">ตามสัญญารับทุนอุดหนุนการวิจัยและ
นวัตกรรม เลขที่ วช.อว.(อ)(ภอ)/32/2564 
งานวิจัยเรื่อง การประยุกต์ใช้โมเดลพยากรณ์
และระบบการติดตามด้วยระบบสารสนเทศ
ภูมิศาสตร์ จากผลกระทบของวิกฤต
สถานการณ์ของโรคติดเชื้อไวรัสโคโรนา 2019 
(COVID-19)ต่อความมั่นคงทางอาหาร งวดที่ 4 </t>
    </r>
    <r>
      <rPr>
        <b/>
        <sz val="13"/>
        <color indexed="10"/>
        <rFont val="Angsana New"/>
        <family val="1"/>
      </rPr>
      <t>วงเงินงบประมาณทั้งสิ้น 671,000 บาท</t>
    </r>
    <r>
      <rPr>
        <sz val="13"/>
        <color indexed="10"/>
        <rFont val="Angsana New"/>
        <family val="1"/>
      </rPr>
      <t xml:space="preserve"> </t>
    </r>
  </si>
  <si>
    <r>
      <t xml:space="preserve">เงินสนับสนุนการวิจัยจากประเทศสิงคโปร์ 
เรื่อง Analysis of Astaxanthin Efficiency in 
White Shrimp 
</t>
    </r>
    <r>
      <rPr>
        <b/>
        <sz val="13"/>
        <color indexed="10"/>
        <rFont val="Angsana New"/>
        <family val="1"/>
      </rPr>
      <t>งบประมาณทั้งสิ้น 490,400.00 บาท</t>
    </r>
  </si>
  <si>
    <r>
      <t xml:space="preserve">เงินสนับสนุนการวิจัย โครงการวิจัยเรื่อง 
ผลของกากถั่วเหลืองหมักในการเสริมอาหารกุ้ง
ในระดับต่าง ๆ เพื่อศึกษาผลการเจริญเติบโต 
ประสิทธิภาพการใช้อาหาร อัตราการรอดตาย
และการเปลี่ยนแปลงทางพยาธิสภาพ 
(Histopathology) 
</t>
    </r>
    <r>
      <rPr>
        <b/>
        <sz val="13"/>
        <color indexed="10"/>
        <rFont val="Angsana New"/>
        <family val="1"/>
      </rPr>
      <t>งบประมาณทั้งสิ้น 18,000 บาท</t>
    </r>
    <r>
      <rPr>
        <sz val="13"/>
        <color indexed="10"/>
        <rFont val="Angsana New"/>
        <family val="1"/>
      </rPr>
      <t xml:space="preserve"> </t>
    </r>
  </si>
  <si>
    <r>
      <t xml:space="preserve">สัญญาให้ทุนอุดหนุนโครงการวิจัย พัฒนาและวิศวกรรม เลขที่ FDA-CO-2561-5830-TH  
เรื่อง การพัฒนาตัวเร่งปฏิกิริยาเพื่อเซล
เชื้อเพลิงเอทานอลโดยไม่ใช้เยื่อเลือกผ่าน </t>
    </r>
    <r>
      <rPr>
        <b/>
        <sz val="13"/>
        <color indexed="8"/>
        <rFont val="Angsana New"/>
        <family val="1"/>
      </rPr>
      <t xml:space="preserve">งบประมาณทั้งโครงการ 250,000 บาท </t>
    </r>
  </si>
  <si>
    <r>
      <t xml:space="preserve">โครงการทุนพัฒนาศักยภาพในการทำงาน
วิจัยของอาจารย์รุ่นใหม่ ปีงบประมาณ 2565 : สัญญาเลขที่ RGNS 64-087 งานวิจัยเรื่อง 
การย่อยสลายยาปฏิชีวนะเบตาแลคแตมที่ตกค้างในมูลสุกรและผลิตกระแสไฟฟ้าด้วย
เซลล์เชื้อเพลิงจุลินทรีย์ต้นทุนต่ำรูปแบบใหม่
ที่แบคทีเรียที่ผลิตเอนไซน์แลคเคสเป็นตัวเร่งปฏิกริยา 
</t>
    </r>
    <r>
      <rPr>
        <b/>
        <sz val="13"/>
        <color indexed="10"/>
        <rFont val="Angsana New"/>
        <family val="1"/>
      </rPr>
      <t>งบประมาณทั้งสิ้น 600,000.00 บาท</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</si>
  <si>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
ปลาสวยงามเพื่อการส่งออก งวดที่ 3
</t>
    </r>
    <r>
      <rPr>
        <b/>
        <sz val="13"/>
        <color indexed="10"/>
        <rFont val="Angsana New"/>
        <family val="1"/>
      </rPr>
      <t>วงเงินทั้งสิ้น 550,000 บาท</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</si>
  <si>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1
</t>
    </r>
    <r>
      <rPr>
        <b/>
        <sz val="13"/>
        <color indexed="10"/>
        <rFont val="Angsana New"/>
        <family val="1"/>
      </rPr>
      <t xml:space="preserve">วงเงินงบประมาณทั้งสิ้น 50,000 บาท </t>
    </r>
  </si>
  <si>
    <r>
      <t xml:space="preserve">ข้อตกลงเลขที่ FDA-CO-2563-12853-TH 
สำหรับโครงการ กลูโคสเซนเซอร์ชนิดไม่ใช้
เอนไซม์ที่สร้างจากโครงสร้างนาโนคอปเปอร์
ออกไซด์ งวดที่ 2
</t>
    </r>
    <r>
      <rPr>
        <b/>
        <sz val="13"/>
        <color indexed="10"/>
        <rFont val="Angsana New"/>
        <family val="1"/>
      </rPr>
      <t xml:space="preserve">งบประมาณทั้งสิ้น 250,000.00 บาท </t>
    </r>
    <r>
      <rPr>
        <sz val="13"/>
        <color indexed="10"/>
        <rFont val="Angsana New"/>
        <family val="1"/>
      </rPr>
      <t xml:space="preserve">
(งบบริหารจัดการจำนวนเงิน 30,000 บ.)</t>
    </r>
  </si>
  <si>
    <r>
      <t xml:space="preserve">ตามสัญญาเลขที่ C10F640030 ซึ่งเป็นสัญญา
ร่วมทุนระหว่างบริษัท แคปแม็กซ์ จำกัด กับ
มหาวิทยาลัยทักษิณ โครงการการพัฒนาสูตร
อาหารเสริมที่เหมาะสมของเบต้ากลูแคนเพื่อ
เพิ่มประสิทธิภาพการยับยั้งการออกอาหาร
ของไวรัสโรคเริ่ม แผนงาน การขับเคลื่อน
เศรษฐกิจชีวภาพเศรษฐกิจหมุนเวียน-
เศรษฐกิจสีเขียว (BCG in Action) งวดที่ 2 </t>
    </r>
    <r>
      <rPr>
        <b/>
        <sz val="13"/>
        <color indexed="10"/>
        <rFont val="Angsana New"/>
        <family val="1"/>
      </rPr>
      <t xml:space="preserve">งบประมาณทั้งสิ้น 2,617,913 บาท </t>
    </r>
  </si>
  <si>
    <r>
      <t xml:space="preserve">ข้อตกลงร่วมที่ JRA-CO-2563-23089-TH 
ในโครงการวิจัยเรื่อง กลูโคสคัลเลอร์ริเมตริก
ไบโอนเซนเซอร์โดยอาศัยการเกิดสาร
ประกอบเชิงซ้อนระหว่างไอร์ออน (III) และ
ไทโอไซยาเนตไอออนจากปฏิกิริยาของเฟนตัน
งวดที่ 1 (งบบริหารจัดการ 30,000.00 บาท)
</t>
    </r>
    <r>
      <rPr>
        <b/>
        <sz val="13"/>
        <color indexed="10"/>
        <rFont val="Angsana New"/>
        <family val="1"/>
      </rPr>
      <t>วงเงินตามสัญญา 250,000 บาท</t>
    </r>
    <r>
      <rPr>
        <sz val="13"/>
        <color indexed="10"/>
        <rFont val="Angsana New"/>
        <family val="1"/>
      </rPr>
      <t xml:space="preserve">  </t>
    </r>
  </si>
  <si>
    <r>
      <t xml:space="preserve">เงินสนับสนุนการวิจัยเรื่อง Shrimp 
histological preparation and histological 
study งวดที่ 1
</t>
    </r>
    <r>
      <rPr>
        <b/>
        <sz val="13"/>
        <color indexed="10"/>
        <rFont val="Angsana New"/>
        <family val="1"/>
      </rPr>
      <t xml:space="preserve">งบประมาณทั้งสิ้น 201,250.00 บาท </t>
    </r>
  </si>
  <si>
    <r>
      <t xml:space="preserve">เงินสนับสนุนการวิจัยจากประเทศเยอรมัน 
เรื่อง The effects of phytase, glucanase, mannanase and xylanase and their 
mixture on grouth, carcass composition 
and nutrient digestibility in Nile tilapia 
Shrimp histological preparation and 
histological study
</t>
    </r>
    <r>
      <rPr>
        <b/>
        <sz val="13"/>
        <color indexed="10"/>
        <rFont val="Angsana New"/>
        <family val="1"/>
      </rPr>
      <t xml:space="preserve">งบประมาณทั้งสิ้น 500,000.00 บาท </t>
    </r>
  </si>
  <si>
    <r>
      <t xml:space="preserve">ทุนอุดหนุนการทำกิจกรรมส่งเสริมและ
สนับสนุนการวิจัยและนวัตกรรม เรื่อง 
การเพาะเลี้ยงปลาก้างพระร่วง (Kryptopterus 
Vitreolus) ในโรงเพาะฟัก และการพัฒนาเป็นปลาสวยงามเพื่อการส่งออก 
เงินประกันผลงานงวดที่ 1 - 3
</t>
    </r>
    <r>
      <rPr>
        <b/>
        <sz val="13"/>
        <color indexed="10"/>
        <rFont val="Angsana New"/>
        <family val="1"/>
      </rPr>
      <t>วงเงินทั้งสิ้น 550,000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</si>
  <si>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1
</t>
    </r>
    <r>
      <rPr>
        <b/>
        <sz val="13"/>
        <color indexed="10"/>
        <rFont val="Angsana New"/>
        <family val="1"/>
      </rPr>
      <t xml:space="preserve">วงเงินทั้งสิ้น 420,000 บาท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</si>
  <si>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1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</si>
  <si>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1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</si>
  <si>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1 
</t>
    </r>
    <r>
      <rPr>
        <b/>
        <sz val="13"/>
        <color indexed="10"/>
        <rFont val="Angsana New"/>
        <family val="1"/>
      </rPr>
      <t>งบประมาณโครงการทั้งสิ้น 850,000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</si>
  <si>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1
</t>
    </r>
    <r>
      <rPr>
        <b/>
        <sz val="13"/>
        <color indexed="10"/>
        <rFont val="Angsana New"/>
        <family val="1"/>
      </rPr>
      <t>งบประมาณทั้งสิ้น 2,237,799 บาท</t>
    </r>
    <r>
      <rPr>
        <sz val="13"/>
        <color indexed="8"/>
        <rFont val="Angsana New"/>
        <family val="1"/>
      </rPr>
      <t xml:space="preserve"> </t>
    </r>
  </si>
  <si>
    <r>
      <t xml:space="preserve">ตามสัญญาเลขที่ TSU65-CIN002 สัญญา
รับทุนอุดหนุนการวิจัยจากงบประมาณ
เงินรายได้ กองทุนวิจัยมหาวิทยาลัยทักษิณ ประจำปีงบประมาณ 2565 โดยในสัญญา
ได้มีผู้ร่วมทุนสนับสนุนทุนวิจัยร่วมเรื่อง 
การพัฒนาผลิตภัณฑ์ต้นแบบสารสกัดเข้มข้น
เสริมอาหารเพาะเลี้ยงปลานิลจากวัสดุเหลือ
ทิ้ง จากการเพาะเลี้ยงเห็ดถั่งเช่าเชิงพาณิชย์ </t>
    </r>
    <r>
      <rPr>
        <b/>
        <sz val="13"/>
        <color indexed="10"/>
        <rFont val="Angsana New"/>
        <family val="1"/>
      </rPr>
      <t>วงเงินร่วมวิจัย 10,000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</si>
  <si>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2 
</t>
    </r>
    <r>
      <rPr>
        <b/>
        <sz val="13"/>
        <color indexed="10"/>
        <rFont val="Angsana New"/>
        <family val="1"/>
      </rPr>
      <t>งบประมาณทั้งสิ้น 700,000 บาท</t>
    </r>
    <r>
      <rPr>
        <sz val="13"/>
        <color indexed="8"/>
        <rFont val="Angsana New"/>
        <family val="1"/>
      </rPr>
      <t xml:space="preserve">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</si>
  <si>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2
</t>
    </r>
    <r>
      <rPr>
        <b/>
        <sz val="13"/>
        <color indexed="10"/>
        <rFont val="Angsana New"/>
        <family val="1"/>
      </rPr>
      <t xml:space="preserve">วงเงินทั้งสิ้น 420,000 บาท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</si>
  <si>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1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</si>
  <si>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1 
</t>
    </r>
    <r>
      <rPr>
        <b/>
        <sz val="13"/>
        <color indexed="10"/>
        <rFont val="Angsana New"/>
        <family val="1"/>
      </rPr>
      <t>งบประมาณโครงการทั้งสิ้น 844,200 บาท</t>
    </r>
  </si>
  <si>
    <r>
      <t xml:space="preserve">ตามสัญญาเลขที่ TSU65ECO001 สัญญารับ
ทุนอุดหนุนการวิจัยจากงบประมาณเงินรายได้ 
กองทุนวิจัยมหาวิทยาลัยทักษิณ ประจำปี
งบประมาณ 2565 โดยในสัญญาได้มีผู้ร่วมทุน
คือ บริษัท ณิชนันทน์การค้า ATK58 สนับสนุน
ทุนวิจัยร่วมเรื่อง การพัฒนาสารจับตัวใน
น้ำยางสำหรับเชิงพาณิชย์ 
</t>
    </r>
    <r>
      <rPr>
        <b/>
        <sz val="13"/>
        <color indexed="10"/>
        <rFont val="Angsana New"/>
        <family val="1"/>
      </rPr>
      <t>งบประมาณวิจัยร่วม 10,000 บาท 
(โดยงบประมาณการร่วมทุนได้รับการ
ยกเว้นค่าธรรมเนียมอุดหนุนสถาบัน)</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</si>
  <si>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1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</si>
  <si>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1
</t>
    </r>
    <r>
      <rPr>
        <b/>
        <sz val="13"/>
        <color indexed="10"/>
        <rFont val="Angsana New"/>
        <family val="1"/>
      </rPr>
      <t>งบประมาณทั้งสิ้น 530,000 บาท</t>
    </r>
    <r>
      <rPr>
        <sz val="13"/>
        <color indexed="8"/>
        <rFont val="Angsana New"/>
        <family val="1"/>
      </rPr>
      <t xml:space="preserve">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</si>
  <si>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2
</t>
    </r>
    <r>
      <rPr>
        <b/>
        <sz val="13"/>
        <color indexed="10"/>
        <rFont val="Angsana New"/>
        <family val="1"/>
      </rPr>
      <t>งบประมาณทั้งสิ้น 530,000 บาท</t>
    </r>
    <r>
      <rPr>
        <sz val="13"/>
        <color indexed="8"/>
        <rFont val="Angsana New"/>
        <family val="1"/>
      </rPr>
      <t xml:space="preserve"> </t>
    </r>
  </si>
  <si>
    <r>
      <t xml:space="preserve">ทุนอุดหนุนดำเนินการวิจัยแผนงานวิจัยเรื่อง 
การสร้างชุมชนแห่งการเรียนรู้ครูประถมศึกษา 
เพื่อการพัฒนาทักษะการอ่านอกเขียนได้ 
การอ่านเชิงวิเคราะห์และจริยธรรม ด้านวินัย 
ด้านจิตอาสา เสียสละ และเห็นอก เห็นใจผู้อื่น 
โดยใช้บทอ่านหนังสือของพ่อ สำหรับเด็ก
ศึกษา (พระบาทสมเด็จพระปรมินทรภูมิพล- 
อดุลยเดช รัชกาลที่ 9) ในจังหวัดสงขลาและ
พัทลุง งวดที่ 2 
</t>
    </r>
    <r>
      <rPr>
        <b/>
        <sz val="13"/>
        <color indexed="10"/>
        <rFont val="Angsana New"/>
        <family val="1"/>
      </rPr>
      <t>วงเงินทั้งสิน 550,000 บาท</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</si>
  <si>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4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</si>
  <si>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เงินประกันผลงาน(งวดที่ 4) 
</t>
    </r>
    <r>
      <rPr>
        <b/>
        <sz val="13"/>
        <color indexed="10"/>
        <rFont val="Angsana New"/>
        <family val="1"/>
      </rPr>
      <t xml:space="preserve">วงเงินทั้งสิ้น 1,500,000 บาท </t>
    </r>
  </si>
  <si>
    <r>
      <t xml:space="preserve">ตามสัญญารับเงินอุดหนุน การดำเนินงานชุด
โครงการวิจัยเพื่อเผยแพร่และแลกเปลี่ยน
เรียนรู้องค์ความรู้เพื่อพัฒนาความลุ่มลึก
ผ่านชุมชนแห่งการเรียนรู้ทางวิชาชีพ งวดที่ 1
(Professiomal Learning Community:PLC) 
</t>
    </r>
    <r>
      <rPr>
        <b/>
        <sz val="13"/>
        <color indexed="10"/>
        <rFont val="Angsana New"/>
        <family val="1"/>
      </rPr>
      <t>งบประมาณทั้งสิ้น 160,000.00 บาท</t>
    </r>
    <r>
      <rPr>
        <sz val="13"/>
        <color indexed="10"/>
        <rFont val="Angsana New"/>
        <family val="1"/>
      </rPr>
      <t xml:space="preserve"> </t>
    </r>
  </si>
  <si>
    <r>
      <t xml:space="preserve">ทุนอุดหนุนดำเนินการวิจัยแผนงานวิจัย เรื่อง 
การบริหารจัดการหลักสูตรฐานสมรรถนะ
อาชีพสู่สถานประกอบการศูนย์การเรียนรู้
เศรษฐกิจพอเพียง โรงเรียนพื้นที่เกาะ จ.สตูล </t>
    </r>
    <r>
      <rPr>
        <b/>
        <sz val="13"/>
        <color indexed="10"/>
        <rFont val="Angsana New"/>
        <family val="1"/>
      </rPr>
      <t xml:space="preserve">งบประมาณทั้งสิ้น 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</si>
  <si>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1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</si>
  <si>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2 (เงินประกันผลงาน)
</t>
    </r>
    <r>
      <rPr>
        <b/>
        <sz val="13"/>
        <color indexed="10"/>
        <rFont val="Angsana New"/>
        <family val="1"/>
      </rPr>
      <t xml:space="preserve">วงเงินทั้งสิ้น 1,500,000 บาท </t>
    </r>
  </si>
  <si>
    <r>
      <t xml:space="preserve">ตามสัญญาจ้างผู้เชี่ยวชาญรายบุคคลหรือ
จ้างบริษัทที่ปรึกษา ดำเนินการโครงการ
ติดตามการดำเนินงานตามมาตรฐานสถาน
พัฒนาเด็กปฐมวัยแห่งชาติ ประจำปี
งบประมาณ 2564 งวดที่ 3 (เงินประกันผลงาน)
</t>
    </r>
    <r>
      <rPr>
        <b/>
        <sz val="13"/>
        <color indexed="10"/>
        <rFont val="Angsana New"/>
        <family val="1"/>
      </rPr>
      <t xml:space="preserve">วงเงินทั้งสิ้น 1,500,000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</si>
  <si>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</si>
  <si>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2
</t>
    </r>
    <r>
      <rPr>
        <b/>
        <sz val="13"/>
        <color indexed="10"/>
        <rFont val="Angsana New"/>
        <family val="1"/>
      </rPr>
      <t xml:space="preserve">วงเงินงบประมาณทั้งสิ้น 3,000,000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</si>
  <si>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1
</t>
    </r>
    <r>
      <rPr>
        <b/>
        <sz val="13"/>
        <color indexed="10"/>
        <rFont val="Angsana New"/>
        <family val="1"/>
      </rPr>
      <t>งบประมาณทั้งสิ้น 476,000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</si>
  <si>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1 
</t>
    </r>
    <r>
      <rPr>
        <b/>
        <sz val="13"/>
        <color indexed="10"/>
        <rFont val="Angsana New"/>
        <family val="1"/>
      </rPr>
      <t xml:space="preserve">งบประมาณโครงการย่อย 499,000 บาท </t>
    </r>
  </si>
  <si>
    <r>
      <t xml:space="preserve">ตามใบสั่งจ้างเลขที่ สทศ.326/2563  สำหรับ
การจ้างการศึกษาวิจัยการออกแบบและ
พัฒนาหลักสูตรบูรณาการกับโครงการ
พระราชดำริฯ ที่เน้นกระบวนการจัดการเรียนรู้
และการวัด และประเมินผล (โรงเรียนตำรวจ
ตระเวนชายแดนบ้านชายควน) งวดที่ 2-3 
</t>
    </r>
    <r>
      <rPr>
        <b/>
        <sz val="13"/>
        <color indexed="10"/>
        <rFont val="Angsana New"/>
        <family val="1"/>
      </rPr>
      <t>งบสนับสนุนจำนวน 201,440 บาท</t>
    </r>
    <r>
      <rPr>
        <sz val="13"/>
        <color indexed="8"/>
        <rFont val="Angsana New"/>
        <family val="1"/>
      </rPr>
      <t xml:space="preserve">
</t>
    </r>
    <r>
      <rPr>
        <b/>
        <sz val="13"/>
        <color indexed="12"/>
        <rFont val="Angsana New"/>
        <family val="1"/>
      </rPr>
      <t>หมายเหตุ : มีค่าปรับลดเงินงวดจำนวน 32,028.96 บาท จากการส่งมอบงานไม่ตรง
ตามสัญญา</t>
    </r>
  </si>
  <si>
    <r>
      <t xml:space="preserve">เงินค่าธรรมเนียม ร้อยละ 10 ตามระเบียบ
คณะกรรมการการเงินและทรัพย์สิน ว่าด้วย
การบริหารจัดการทุนอุดหนุนการวิจัยจาก
แหล่งทุนภายนอก พ.ศ.2557 สำหรับทุนสนับสนุนงานวิจัย รื่อง โครงการวิจัยเชิง
ปฎิบัติการเพื่อพัฒนาครูและโรงเรียนตำรวจ
ตระเวนชายแดนในพื้นที่จังหวัดสงขลา ตรัง 
สตูล และพัทลุง ปี 2564 
(ระยะเวลาดำเนินงานสิงหาคม 2564 ถึง
เดือนกรกฎาคม 2565) 
</t>
    </r>
    <r>
      <rPr>
        <b/>
        <sz val="13"/>
        <color indexed="10"/>
        <rFont val="Angsana New"/>
        <family val="1"/>
      </rPr>
      <t xml:space="preserve">งบประมาณทั้งสิ้น 900,000 บาท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</si>
  <si>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2 
</t>
    </r>
    <r>
      <rPr>
        <b/>
        <sz val="13"/>
        <color indexed="10"/>
        <rFont val="Angsana New"/>
        <family val="1"/>
      </rPr>
      <t xml:space="preserve">งบประมาณโครงการย่อย 499,000 บาท </t>
    </r>
  </si>
  <si>
    <r>
      <t xml:space="preserve">เงินสนับสนุนการวิจัยสถาบันในเครือข่าย
อุดมศึกษาภาคใต้ตอนล่าง เรื่อง โครงการ
พัฒนาคุณภาพการศึกษาและการพัฒนา
ท้องถิ่น โดยมีสถาบันอุดมศึกษาเป็นพี่เลี้ยง 
ประจำปีงบประมาณ 2565 งวดที่ 2
</t>
    </r>
    <r>
      <rPr>
        <b/>
        <sz val="13"/>
        <color indexed="10"/>
        <rFont val="Angsana New"/>
        <family val="1"/>
      </rPr>
      <t>งบประมาณทั้งสิ้น 476,000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</si>
  <si>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งวดที่ 3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</si>
  <si>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เงินประกันผลงานงวดที่ 3
</t>
    </r>
    <r>
      <rPr>
        <b/>
        <sz val="13"/>
        <color indexed="10"/>
        <rFont val="Angsana New"/>
        <family val="1"/>
      </rPr>
      <t xml:space="preserve">วงเงินงบประมาณทั้งสิ้น 3,000,000 บาท </t>
    </r>
  </si>
  <si>
    <r>
      <t xml:space="preserve">เงินสนับสนุนการวิจัย เรื่อง การศึกษารูปแบบ
การจัดจำหน่ายสัตว์น้ำเศรษฐกิจที่โตไม่ได้
ขนาดในประเทศไทย 
</t>
    </r>
    <r>
      <rPr>
        <b/>
        <sz val="13"/>
        <color indexed="10"/>
        <rFont val="Angsana New"/>
        <family val="1"/>
      </rPr>
      <t>งบประมาณจำนวน 60,000 บาท</t>
    </r>
  </si>
  <si>
    <r>
      <t xml:space="preserve">ทุนอุดหนุนดำเนินการวิจัยแผนงานวิจัยเรื่อง 
สำรวจความพึงพอใจของประชาชนที่มีผล
ต่อการดำเนินงานขององค์กรปกครอง
ส่วนท้องถิ่น ประจำปีงบประมาณ 
พ.ศ.2561-2564 </t>
    </r>
    <r>
      <rPr>
        <b/>
        <sz val="13"/>
        <color indexed="10"/>
        <rFont val="Angsana New"/>
        <family val="1"/>
      </rPr>
      <t>(เงินประกันผลงาน)</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</si>
  <si>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1 
</t>
    </r>
    <r>
      <rPr>
        <b/>
        <sz val="13"/>
        <color indexed="10"/>
        <rFont val="Angsana New"/>
        <family val="1"/>
      </rPr>
      <t>งบประมาณโครงการทั้งสิ้น 650,000 บาท</t>
    </r>
  </si>
  <si>
    <r>
      <t>ทุนอุดหนุนดำเนินการวิจัยเรื่อง การวิเคราะห์
พฤติกรรมผู้บริโภคซอสกะปิเคยนิคะ
ในประเทศไทย (ระยะเวลาในการดำเนินงาน
วิจัย 1 กรกฎาคม 2565 ถึง 30 กันยายน 2565)</t>
    </r>
    <r>
      <rPr>
        <b/>
        <sz val="13"/>
        <color indexed="10"/>
        <rFont val="Angsana New"/>
        <family val="1"/>
      </rPr>
      <t xml:space="preserve">งบประมาณทั้งสิ้น 18,7920 บาท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</si>
  <si>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2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</si>
  <si>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1 
</t>
    </r>
    <r>
      <rPr>
        <b/>
        <sz val="13"/>
        <color indexed="10"/>
        <rFont val="Angsana New"/>
        <family val="1"/>
      </rPr>
      <t>งบประมาณโครงการทั้งสิ้น 500,000 บาท</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</si>
  <si>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t>
    </r>
    <r>
      <rPr>
        <b/>
        <sz val="13"/>
        <color indexed="8"/>
        <rFont val="Angsana New"/>
        <family val="1"/>
      </rPr>
      <t xml:space="preserve">งบประมาณทั้งสิ้น 7,700,000 บาท </t>
    </r>
    <r>
      <rPr>
        <sz val="13"/>
        <color indexed="8"/>
        <rFont val="Angsana New"/>
        <family val="1"/>
      </rPr>
      <t xml:space="preserve">
</t>
    </r>
    <r>
      <rPr>
        <b/>
        <sz val="13"/>
        <color indexed="10"/>
        <rFont val="Angsana New"/>
        <family val="1"/>
      </rPr>
      <t>หมายเหตุ : งวดที่ 1 = 2,364,000 บาท ไม่ได้นำส่งมหาวิทยาลัย</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</si>
  <si>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1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</si>
  <si>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1
</t>
    </r>
    <r>
      <rPr>
        <b/>
        <sz val="13"/>
        <color indexed="10"/>
        <rFont val="Angsana New"/>
        <family val="1"/>
      </rPr>
      <t>งบประมาณทั้งสิ้น 3,066,837 บาท</t>
    </r>
    <r>
      <rPr>
        <sz val="13"/>
        <color indexed="8"/>
        <rFont val="Angsana New"/>
        <family val="1"/>
      </rPr>
      <t xml:space="preserve"> </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</si>
  <si>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1
</t>
    </r>
    <r>
      <rPr>
        <b/>
        <sz val="13"/>
        <color indexed="10"/>
        <rFont val="Angsana New"/>
        <family val="1"/>
      </rPr>
      <t>งบประมาณทั้งสิ้น 1,221,940 บาท</t>
    </r>
  </si>
  <si>
    <r>
      <t xml:space="preserve">เลขที่สัญญาTEBP003/2565 สัญญาจ้างวิจัย
โครงการ การพัฒนาเทคโนโลยีผลิตไบโอไฮเทค
จากวัสดุเศษเหลือภาคอุตสาหกรรมเกษตร
และกรดอะซิติกจากคาร์บอนไดออกไซต์ด้วย
กระบวนการหมักไร้อากาศสองขั้นตอนและ
การเปลี่ยนคาร์บอนไดออกไซต์เป็นกรด
อะซิติกด้วย Clostridium thailandense 
TISTR 2984 งวดที่ 2
</t>
    </r>
    <r>
      <rPr>
        <b/>
        <sz val="13"/>
        <color indexed="10"/>
        <rFont val="Angsana New"/>
        <family val="1"/>
      </rPr>
      <t>งบประมาณทั้งสิ้น 1,221,940 บาท</t>
    </r>
  </si>
  <si>
    <r>
      <t xml:space="preserve">เงินค่าธรรมเนียม ร้อยละ 10 ตามระเบียบคณะกรรมการการเงินและทรัพย์สิน ว่าด้วย
การบริหารจัดการทุนอุดหนุนการวิจัยจาก
แหล่งทุนภายนอก พ.ศ.2557 ตามสัญญา
เลขที่ กภท.10/2563 โครงการสำรวจ 
ทำสำเนาดิจิทัล และปริวัตรเอกสารโบราณตำรับยาและตำราการแพทย์แผนไทย 
กลุ่มจังหวัดภาคใต้ ปีที่ 2 
</t>
    </r>
    <r>
      <rPr>
        <b/>
        <sz val="13"/>
        <color indexed="10"/>
        <rFont val="Angsana New"/>
        <family val="1"/>
      </rPr>
      <t xml:space="preserve">ปีที่ 2 ทุนวิจัยทั้งหมด 922,108.00 บาท </t>
    </r>
    <r>
      <rPr>
        <sz val="13"/>
        <color indexed="8"/>
        <rFont val="Angsana New"/>
        <family val="1"/>
      </rPr>
      <t xml:space="preserve">
</t>
    </r>
    <r>
      <rPr>
        <b/>
        <sz val="13"/>
        <color indexed="10"/>
        <rFont val="Angsana New"/>
        <family val="1"/>
      </rPr>
      <t xml:space="preserve">รวมงบปีที่ 1-2 ทั้งหมด 2,426,600.00 บาท </t>
    </r>
  </si>
  <si>
    <t>01/03/2566</t>
  </si>
  <si>
    <t>PR2-2566:21/43</t>
  </si>
  <si>
    <t>RV00020900066030007</t>
  </si>
  <si>
    <t>03/01/2566</t>
  </si>
  <si>
    <t>PL2-2566:2/40</t>
  </si>
  <si>
    <t>RV00020900066010008</t>
  </si>
  <si>
    <t>ผศ.ดร.ธีรพร ทองขะโชค</t>
  </si>
  <si>
    <t>20/01/2566</t>
  </si>
  <si>
    <t>PR2-2565:14/28 
และ 
PR2-2566:14/29</t>
  </si>
  <si>
    <t>RV00020900066010217</t>
  </si>
  <si>
    <t>26/01/2566</t>
  </si>
  <si>
    <t>PR2-2566:15/17</t>
  </si>
  <si>
    <t>RV00020900066010281</t>
  </si>
  <si>
    <t>07/02/2566</t>
  </si>
  <si>
    <t>PR2-2566:17/21,
PR2-2566:17/22,
PR2-2566:17/25 
และ 
PR2-2566:17/24</t>
  </si>
  <si>
    <t>RV00020900066020078</t>
  </si>
  <si>
    <t>15/02/2566</t>
  </si>
  <si>
    <t>PR2-2566:18/23</t>
  </si>
  <si>
    <t>RV00020900066020211</t>
  </si>
  <si>
    <t>10/03/2566</t>
  </si>
  <si>
    <t>PR2-2566:22/16</t>
  </si>
  <si>
    <t>RV00020900066030051</t>
  </si>
  <si>
    <t>สำนักงานกองทุนสนับสนุนการสร้างเสริมสุขภาพ 
(สสส.)</t>
  </si>
  <si>
    <t>15/03/2566</t>
  </si>
  <si>
    <t>PR2-2566:22/50</t>
  </si>
  <si>
    <t>RV00020900066030124</t>
  </si>
  <si>
    <t>27/12/2565</t>
  </si>
  <si>
    <t>PR2-2566:10/8 22,551 บาท 
และ PR2-2566:10/9 39,447 บาท</t>
  </si>
  <si>
    <t>RV00020900066120339</t>
  </si>
  <si>
    <t>02/03/2566</t>
  </si>
  <si>
    <t>PR2-2566:21/50</t>
  </si>
  <si>
    <t>RV00020900066030028</t>
  </si>
  <si>
    <t>07/12/2565</t>
  </si>
  <si>
    <t>PR2-2566:6/27</t>
  </si>
  <si>
    <t>RV00020900066120057</t>
  </si>
  <si>
    <t>20/12/2565</t>
  </si>
  <si>
    <t>PR2-2566:7/49</t>
  </si>
  <si>
    <t>RV00020900066120226</t>
  </si>
  <si>
    <t>19/01/2566</t>
  </si>
  <si>
    <t>PR2-2566:14/17</t>
  </si>
  <si>
    <t>RV00020900066010195</t>
  </si>
  <si>
    <t>PR2-2566:18/25</t>
  </si>
  <si>
    <t>RV00020900066020210</t>
  </si>
  <si>
    <t>อาจารย์ ดร.ภูมิน นุตรทัต</t>
  </si>
  <si>
    <t xml:space="preserve">บริษัท แอดวานซ์ ไบโอ-
นาโนเทค กรุ๊ป จำกัด </t>
  </si>
  <si>
    <t>21/02/2566</t>
  </si>
  <si>
    <t>PR2-2566:20/19</t>
  </si>
  <si>
    <t>RV00020900066020295</t>
  </si>
  <si>
    <t>PR2-2566:23/1</t>
  </si>
  <si>
    <t>RV00020900066030123</t>
  </si>
  <si>
    <t>24/03/2566</t>
  </si>
  <si>
    <t>PR2-2566:23/41</t>
  </si>
  <si>
    <t>RV00020900066030242</t>
  </si>
  <si>
    <t>PR2-2566:22/27</t>
  </si>
  <si>
    <t>RV00020900066030058</t>
  </si>
  <si>
    <t>PR2-2566:23/2</t>
  </si>
  <si>
    <t>RV00020900066030125</t>
  </si>
  <si>
    <t>30/11/2565</t>
  </si>
  <si>
    <t>PR2-2566:5/25</t>
  </si>
  <si>
    <t>RV00020900066110463</t>
  </si>
  <si>
    <t>PR2-2566:5/26</t>
  </si>
  <si>
    <t>07/11/2565</t>
  </si>
  <si>
    <t>PL2-2566:1/27</t>
  </si>
  <si>
    <t>RV00020900066110112</t>
  </si>
  <si>
    <t>23/11/2565</t>
  </si>
  <si>
    <t>PL2-2566:1/49</t>
  </si>
  <si>
    <t>RV00020900066110387</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</si>
  <si>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2565 </t>
  </si>
  <si>
    <t>PL2-2566:1/50</t>
  </si>
  <si>
    <t>RV00020900066110388</t>
  </si>
  <si>
    <t>PL2-2566:2/1</t>
  </si>
  <si>
    <t>RV00020900066110389</t>
  </si>
  <si>
    <t>24/11/2565</t>
  </si>
  <si>
    <t>PL2-2566:2/5</t>
  </si>
  <si>
    <t>RV00020900066110393</t>
  </si>
  <si>
    <t>องค์กรปกครองส่วนท้องถิ่น
จำนวน 30 หน่วยงาน</t>
  </si>
  <si>
    <t>15/12/2565</t>
  </si>
  <si>
    <t>PL2-2566:2/24</t>
  </si>
  <si>
    <t>RV00020900066120170</t>
  </si>
  <si>
    <t>26/12/2565</t>
  </si>
  <si>
    <t>PL2-2566:2/36</t>
  </si>
  <si>
    <t>RV00020900066120303</t>
  </si>
  <si>
    <t>PL2-2566:3/29</t>
  </si>
  <si>
    <t>RV00020900066020188</t>
  </si>
  <si>
    <t>23/12/2565</t>
  </si>
  <si>
    <t>PR2-2566:5/23</t>
  </si>
  <si>
    <t>RV00020900066120291</t>
  </si>
  <si>
    <t>27/02/2566</t>
  </si>
  <si>
    <t>PR2-2566:21/36</t>
  </si>
  <si>
    <t>RV00020900066020371
JV00020900066020031</t>
  </si>
  <si>
    <t>รศ.ดร.สรรพสิทธิ์ กล่อมเกล้า</t>
  </si>
  <si>
    <t>PR2-2566:21/31</t>
  </si>
  <si>
    <t>RV00020900066020357</t>
  </si>
  <si>
    <t>09/11/2565</t>
  </si>
  <si>
    <t>PR2-2566:3/25</t>
  </si>
  <si>
    <t>RV00020900066110156</t>
  </si>
  <si>
    <t>29/12/2565</t>
  </si>
  <si>
    <t>PR2-2565:10/18</t>
  </si>
  <si>
    <t>นางสาววันเพ็ญ บัวคง</t>
  </si>
  <si>
    <t>PR2-2566:9/24</t>
  </si>
  <si>
    <t>RV00020900066120292</t>
  </si>
  <si>
    <t>PR2-2566:14/18</t>
  </si>
  <si>
    <t>RV00020900066010196</t>
  </si>
  <si>
    <t>08/02/2566</t>
  </si>
  <si>
    <t>PR2-2566:17/30</t>
  </si>
  <si>
    <t>RV00020900066020088</t>
  </si>
  <si>
    <t>รายงานรายได้เพื่อการวิจัยจากแหล่งทุนภายนอก</t>
  </si>
  <si>
    <t>คณะพยาบาลศาสตร์</t>
  </si>
  <si>
    <t>05/04/2566</t>
  </si>
  <si>
    <t>PR2-2566:24/49</t>
  </si>
  <si>
    <t>RV00020900066040019</t>
  </si>
  <si>
    <t>PR2-2566:25/4</t>
  </si>
  <si>
    <t>RV00020900066040017</t>
  </si>
  <si>
    <t>PR2-2566:25/5</t>
  </si>
  <si>
    <t>PR2-2566:24/48</t>
  </si>
  <si>
    <t>RV00020900066040020</t>
  </si>
  <si>
    <t>อ.ดร.คณิดา สินใหม</t>
  </si>
  <si>
    <t>PR2-2566:24/47</t>
  </si>
  <si>
    <t>RV00020900066040021</t>
  </si>
  <si>
    <t>รศ.ดร.รุ่งชัชดาพร เวหะชาติ</t>
  </si>
  <si>
    <t>11/04/2566</t>
  </si>
  <si>
    <t>PR2-2566:27/2</t>
  </si>
  <si>
    <t>RV00020900066040108</t>
  </si>
  <si>
    <t>ผศ.ดร.นิรมล จันทรชาติ</t>
  </si>
  <si>
    <t>PL2-2566:4/15</t>
  </si>
  <si>
    <t>RV00020900066040023</t>
  </si>
  <si>
    <t>PR2-2566:24/50</t>
  </si>
  <si>
    <t>RV00020900066040018</t>
  </si>
  <si>
    <t>ผศ.อนงค์ ภิบาล</t>
  </si>
  <si>
    <t>ค่าธรรมเนียมตามประกาศคณะกรรมการบริหารกองทุนวิจัยมหาวิทยาลัยทักษิณ 
เรื่อง การบริหารจัดการทุนอุดหนุนการวิจัยจากแหล่งทุนภายนอก พ.ศ. 2564 และ 2565</t>
  </si>
  <si>
    <t>สถาบันทักษิณคดีศึกษา</t>
  </si>
  <si>
    <t>สำนักส่งเสริมบริการวิชาการและภูมิปัญญา
ชุมชน</t>
  </si>
  <si>
    <t>23/06/2566</t>
  </si>
  <si>
    <t>PR2-2566:35/25</t>
  </si>
  <si>
    <t>RV00020900066060297</t>
  </si>
  <si>
    <t>สำนักงานสภานโยบาย
การอุดมศึกษา 
วิทยาศาสตร์วิจัยและ
นวัตกรรมแห่งชาติ (สอวช.)</t>
  </si>
  <si>
    <t>ผศ.ดร.นันทิยา พนมจันทร์</t>
  </si>
  <si>
    <t>01/05/2566</t>
  </si>
  <si>
    <t>PR2-2566:29/18</t>
  </si>
  <si>
    <t>RV00020900066050009
JV00020900066050003</t>
  </si>
  <si>
    <t>03/05/2566</t>
  </si>
  <si>
    <t>PR2-2566:29/38</t>
  </si>
  <si>
    <t>RV00020900066050034</t>
  </si>
  <si>
    <t>12/06/2566</t>
  </si>
  <si>
    <t>PR2-2566:33/32</t>
  </si>
  <si>
    <t>RV00020900066060113</t>
  </si>
  <si>
    <t>อ.ดร.วราภรณ์ ทนงศักดิ์</t>
  </si>
  <si>
    <t>30/06/2566</t>
  </si>
  <si>
    <t>PR2-2566:36/19</t>
  </si>
  <si>
    <t>RV00020900066060397</t>
  </si>
  <si>
    <t>23/05/2566</t>
  </si>
  <si>
    <t>PR2-2566:31/28</t>
  </si>
  <si>
    <t>RV00020900066050245</t>
  </si>
  <si>
    <t>PR2-2566:29/33</t>
  </si>
  <si>
    <t>RV00020900066050030</t>
  </si>
  <si>
    <t>นายวีระศักดิ์ ไชยชาญ 
นิสิตระดับบัณฑิตศึกษา 
โดยมี รศ.ดร.จอมภพ แววศักดิ์ 
เป็นที่ปรึกษาการวิจัย</t>
  </si>
  <si>
    <t>PR2-2566:29/37</t>
  </si>
  <si>
    <t>RV00020900066050033</t>
  </si>
  <si>
    <t>ผศ.ดร.จิราพร ช่อมณี</t>
  </si>
  <si>
    <t>11/05/2566</t>
  </si>
  <si>
    <t>PR2-2566:30/1</t>
  </si>
  <si>
    <t>RV00020900066050098</t>
  </si>
  <si>
    <t>อาจารย์ ดร.จักรี บุญละคร</t>
  </si>
  <si>
    <t>ยกเว้น</t>
  </si>
  <si>
    <t>อาจารย์ ดร.นิลุบล จันทร์คง</t>
  </si>
  <si>
    <t>09/06/2566</t>
  </si>
  <si>
    <t>PR2-2566:33/31</t>
  </si>
  <si>
    <t>RV00020900066060106</t>
  </si>
  <si>
    <t>14/06/2566</t>
  </si>
  <si>
    <t>PR2-2566:33/50</t>
  </si>
  <si>
    <t>RV00020900066060169</t>
  </si>
  <si>
    <t>อ.ดร.ณภัทร แก้วภิบาล</t>
  </si>
  <si>
    <t>29/05/2566</t>
  </si>
  <si>
    <t>PR2-2566:32/14</t>
  </si>
  <si>
    <t>RV00020900066050303</t>
  </si>
  <si>
    <t>อาจารย์ ดร.สิงหา ตุลยกุล</t>
  </si>
  <si>
    <t>เครือข่ายอุดมศึกษาภาคใต้
ตอนล่างมหาวิทยาลัย
สงขลานครินทร์</t>
  </si>
  <si>
    <t>PR2-2566:33/30</t>
  </si>
  <si>
    <t>RV00020900066060105</t>
  </si>
  <si>
    <t>ผศ.ดร.พัศรเบศวณ์ เวชวิริยะสกุล</t>
  </si>
  <si>
    <t>PR2-2566:29/34</t>
  </si>
  <si>
    <t>RV00020900066050031</t>
  </si>
  <si>
    <t>อาจารย์อรศิริ ลีลายุทธชัย</t>
  </si>
  <si>
    <t>25/05/2566</t>
  </si>
  <si>
    <t>PL2-2566:4/35</t>
  </si>
  <si>
    <t>RV00020900066050261</t>
  </si>
  <si>
    <t>อ.ดร.โกมลมณี เกตตุพันธ์</t>
  </si>
  <si>
    <t>PR2-2566:29/17</t>
  </si>
  <si>
    <t>RV00020900066050006</t>
  </si>
  <si>
    <t>คณะอุตสาหกรรมเกษตรและชีวภาพ เปลี่ยนเป็นดำเนินการภายใต้สถาบันวิจัยและพัฒนา</t>
  </si>
  <si>
    <t>คณะอุตสาหกรรมการเกษตรและชีวภาพ</t>
  </si>
  <si>
    <t>ผศ.ดร.วิวัฒน์ ฤทธิมา</t>
  </si>
  <si>
    <t xml:space="preserve">สำนักงานสภานโยบาย
การอุดมศึกษา วิทยาศาสตร์
วิจัยและนวัตกรรมแห่งชาติ 
(สอวช.) </t>
  </si>
  <si>
    <t>ดำเนินการภายใต้สถาบันวิจัยและพัฒนา 
ทำหน้าที่หัวหน้าชุดงานวิจัย</t>
  </si>
  <si>
    <t>12/05/2566</t>
  </si>
  <si>
    <t>PR2-2566:30/11</t>
  </si>
  <si>
    <t>RV00020900066050110</t>
  </si>
  <si>
    <t>กำกับดูแลสถาบัน
ทักษิณคดีศึกษา</t>
  </si>
  <si>
    <t>PR2-2566:35/24</t>
  </si>
  <si>
    <t>RV00020900066060296</t>
  </si>
  <si>
    <t>นายธีระ จันทิปะ</t>
  </si>
  <si>
    <t>สำนักงานส่งเสริมเศรษฐกิจสร้างสรรค์ (องค์การมหาชน)</t>
  </si>
  <si>
    <t>PR2-2566:33/49</t>
  </si>
  <si>
    <t>RV00020900066060168</t>
  </si>
  <si>
    <t>นางสาววิจิตรา อมรวิริยะชัย</t>
  </si>
  <si>
    <t>อ.ดร.นิชาภรณ์ พันธ์คง</t>
  </si>
  <si>
    <t>25/07/2566</t>
  </si>
  <si>
    <t>PR2-2566:39/8</t>
  </si>
  <si>
    <t>RV00020900066070294</t>
  </si>
  <si>
    <t>04/07/2566</t>
  </si>
  <si>
    <t>PR2-2566:36/40</t>
  </si>
  <si>
    <t>RV00020900066070022
JV00020900066070006</t>
  </si>
  <si>
    <t>รศ.ดร.ศรชัย อินทะไชย</t>
  </si>
  <si>
    <t>PR2-2566:36/41</t>
  </si>
  <si>
    <t>RV00020900066070023
JV00020900066070007</t>
  </si>
  <si>
    <t>PR2-2566:39/9</t>
  </si>
  <si>
    <t>RV00020900066070293</t>
  </si>
  <si>
    <t>26/07/2566</t>
  </si>
  <si>
    <t>PR2-2566:39/19</t>
  </si>
  <si>
    <t>RV00020900066070319</t>
  </si>
  <si>
    <t>ค่าธรรมเนียมอุดหนุนสถาบัน
ตามประกาศคณะกรรมการบริหารกองทุนฯ
(10%หรือ16%จากยอดรับทั้งหมด)</t>
  </si>
  <si>
    <t>09/08/2566</t>
  </si>
  <si>
    <t>PR2-2566:40/18</t>
  </si>
  <si>
    <t>RV00020900066080051
JV00020900066080007</t>
  </si>
  <si>
    <t>31/08/2566</t>
  </si>
  <si>
    <t>PR2-2566:43/30</t>
  </si>
  <si>
    <t>RV00020900066080378</t>
  </si>
  <si>
    <t>15/08/2566</t>
  </si>
  <si>
    <t>PR2-2566:41/10</t>
  </si>
  <si>
    <t>RV00020900066080135</t>
  </si>
  <si>
    <t>บริษัท อิมมูนิเตอร์ 
มาร์เก็ตติ้ง จำกัด</t>
  </si>
  <si>
    <t>PL2-2566:5/34</t>
  </si>
  <si>
    <t>RV00020900066080377</t>
  </si>
  <si>
    <t>30/08/2566</t>
  </si>
  <si>
    <t>PR2-2566:43/28</t>
  </si>
  <si>
    <t>RV00020900066080367</t>
  </si>
  <si>
    <t>29/08/2566</t>
  </si>
  <si>
    <t>PR2-2566:43/25</t>
  </si>
  <si>
    <t>RV00020900066080339</t>
  </si>
  <si>
    <t>16/08/2566</t>
  </si>
  <si>
    <t>PR2-2566:41/20</t>
  </si>
  <si>
    <t>RV00020900066080146</t>
  </si>
  <si>
    <t xml:space="preserve">สำนักงานสภานโบยาย
การอุดมศึกษา วิทยาศาตร์ วิจัยและนวัตกรรมแห่งชาติ </t>
  </si>
  <si>
    <t>ประจำปีงบประมาณ พ.ศ. 2566   ตั้งแต่วันที่  1  ตุลาคม  2565  ถึงวันที่  30  กันยายน  2566</t>
  </si>
  <si>
    <t>สถาบันวิจัย
และพัฒนา</t>
  </si>
  <si>
    <t>สถาบันปฏิบัติการชุมชนและการเรียนรู้ตลอดชีวิต</t>
  </si>
  <si>
    <t>ประจำปีงบประมาณ พ.ศ. 2566   ตั้งแต่วันที่  1  ตุลาคม 2565  ถึงวันที่  30  กันยายน  2566</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</si>
  <si>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3 การเลี้ยงแพะหวะแก้จน 
จังหวัดพัทลุง งวดที่ 2
</t>
    </r>
    <r>
      <rPr>
        <b/>
        <sz val="13"/>
        <color indexed="10"/>
        <rFont val="Angsana New"/>
        <family val="1"/>
      </rPr>
      <t xml:space="preserve">งบประมาณทั้งสิ้น 1,530,000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</si>
  <si>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3</t>
    </r>
    <r>
      <rPr>
        <sz val="13"/>
        <color indexed="8"/>
        <rFont val="Angsana New"/>
        <family val="1"/>
      </rPr>
      <t xml:space="preserve"> แพะหวะแก้จน 
จังหวัดพัทลุงโมเดล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</si>
  <si>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4</t>
    </r>
    <r>
      <rPr>
        <sz val="13"/>
        <color indexed="8"/>
        <rFont val="Angsana New"/>
        <family val="1"/>
      </rPr>
      <t xml:space="preserve"> วิชชายุทธเกษตรสู้จน 
คนศรีนครินทร์ งวดที่ 1 
</t>
    </r>
    <r>
      <rPr>
        <b/>
        <sz val="13"/>
        <color indexed="10"/>
        <rFont val="Angsana New"/>
        <family val="1"/>
      </rPr>
      <t>วงเงินงบประมาณย่อย 1,100,000 บาท</t>
    </r>
  </si>
  <si>
    <r>
      <t xml:space="preserve">ตามสัญญาเลขที่ N71B650123 สำหรับทุนสนับสนุนการวิจัย เรื่อง ธนาคารแพะหวะชายแดนใต้ จังหวัดนราธิวาส ( ระยะเวลา 
1 กุมภาพันธ์ 2565 - 31 มกราคม 2566) </t>
    </r>
    <r>
      <rPr>
        <b/>
        <sz val="13"/>
        <color indexed="10"/>
        <rFont val="Angsana New"/>
        <family val="1"/>
      </rPr>
      <t xml:space="preserve">งบประมาณทั้งสิ้น 500,000 บาท </t>
    </r>
  </si>
  <si>
    <t>29/09/2566</t>
  </si>
  <si>
    <t>PR2-2566:50/36</t>
  </si>
  <si>
    <t>RV00020900066090621</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</si>
  <si>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3
</t>
    </r>
    <r>
      <rPr>
        <b/>
        <sz val="13"/>
        <color indexed="10"/>
        <rFont val="Angsana New"/>
        <family val="1"/>
      </rPr>
      <t xml:space="preserve">วงเงินทั้งสิ้น 400,000 บาท </t>
    </r>
  </si>
  <si>
    <t>PR2-2566:50/35</t>
  </si>
  <si>
    <t>RV00020900066090619</t>
  </si>
  <si>
    <t xml:space="preserve">ศ.ดร.กรกฎ ทองขะโชค </t>
  </si>
  <si>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1 
</t>
    </r>
    <r>
      <rPr>
        <b/>
        <sz val="13"/>
        <color indexed="10"/>
        <rFont val="Angsana New"/>
        <family val="1"/>
      </rPr>
      <t xml:space="preserve">งบประมาณทั้งสิ้น 1,290,000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</si>
  <si>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1
</t>
    </r>
    <r>
      <rPr>
        <b/>
        <sz val="13"/>
        <color indexed="10"/>
        <rFont val="Angsana New"/>
        <family val="1"/>
      </rPr>
      <t xml:space="preserve">งบประมาณทั้งสิ้น 600,000 บาท </t>
    </r>
  </si>
  <si>
    <r>
      <t xml:space="preserve">ตามใบสั่งจ้างเลขที่ 00394/65 ว่าจ้างสำรวจ
ความพึงพอใจของผู้รับบริการที่มีต่อการ
ให้บริการสาธารณะของเทศบาลตำบล
สะบ้าย้อย ประจำปีงบประมาณ 2565 
(ระยะเวลา 27 ก.ย. 65 - 26 พ.ย. 65) </t>
    </r>
    <r>
      <rPr>
        <b/>
        <sz val="13"/>
        <color indexed="10"/>
        <rFont val="Angsana New"/>
        <family val="1"/>
      </rPr>
      <t>งบประมาณทั้งสิ้น 30,000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</si>
  <si>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2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</si>
  <si>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2 </t>
    </r>
    <r>
      <rPr>
        <b/>
        <sz val="13"/>
        <color indexed="10"/>
        <rFont val="Angsana New"/>
        <family val="1"/>
      </rPr>
      <t>งบประมาณโครงการทั้งสิ้น 1,248,300 บ.</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</si>
  <si>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1 
</t>
    </r>
    <r>
      <rPr>
        <b/>
        <sz val="13"/>
        <color indexed="10"/>
        <rFont val="Angsana New"/>
        <family val="1"/>
      </rPr>
      <t xml:space="preserve">งบประมาณทั้งสิ้น 1,600,000.00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</si>
  <si>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งวดที่ 2-3 และเงินประกัน
ผลงานงวดที่ 2-3
</t>
    </r>
    <r>
      <rPr>
        <b/>
        <sz val="13"/>
        <color indexed="10"/>
        <rFont val="Angsana New"/>
        <family val="1"/>
      </rPr>
      <t xml:space="preserve">งบประมาณทั้งสิ้น 1,645,322.00 บาท </t>
    </r>
  </si>
  <si>
    <r>
      <t xml:space="preserve">ตามสัญญาจ้างผู้เชี่ยวชาญรายบุคคลหรือ
จ้างที่บริษัทที่ปรึกษา เลขที่ 77/2565 
ได้ว่าจ้างที่ปรึกษาปฏิบัติงานตามโครงการ 
ดำเนินการจ้างที่ปรึกษา กิจกรรมการศึกษา 
วิจัยและประเมินผลการปฏิบัติงานประจำปี
งบประมาณ พ.ศ.2565 ภายใต้แผนบูรณาการ
ขับเคลื่อนการแก้ไขปัญหาจังหวัดชายแดน
ภาคใต้ พ.ศ.2565 เงินประกันผลงานงวดที่ 1
</t>
    </r>
    <r>
      <rPr>
        <b/>
        <sz val="13"/>
        <color indexed="10"/>
        <rFont val="Angsana New"/>
        <family val="1"/>
      </rPr>
      <t xml:space="preserve">งบประมาณทั้งสิ้น 1,645,322.00 บาท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</si>
  <si>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2 การยกระดับรายได้คนจน
อำเภอควนขนุน จังหวัดพัทลุง ด้วยโมเดล 
อำเภอกระจูดแก้จน งวดที่ 2
</t>
    </r>
    <r>
      <rPr>
        <b/>
        <sz val="13"/>
        <color indexed="10"/>
        <rFont val="Angsana New"/>
        <family val="1"/>
      </rPr>
      <t>งบประมาณทั้งสิ้น 1,665,364 บาท</t>
    </r>
    <r>
      <rPr>
        <sz val="13"/>
        <color indexed="8"/>
        <rFont val="Angsana New"/>
        <family val="1"/>
      </rPr>
      <t xml:space="preserve"> </t>
    </r>
  </si>
  <si>
    <r>
      <t xml:space="preserve">ตามสัญญาจ้างโครงการรหัส 64-00223-0022 
ของโครงการวิจัย บทบาทของนักข่าวพลเมือง
บนสือสังคมกับการเฝ้าระวังปัญหาการใช้
ยาเสพติดของนักเรียนในโรงเรียนขนาดเล็ก
บริเวณพื้นที่ชายแดนไทย-มาเลเซีย
เงินประกันผลงาน
</t>
    </r>
    <r>
      <rPr>
        <b/>
        <sz val="13"/>
        <color indexed="10"/>
        <rFont val="Angsana New"/>
        <family val="1"/>
      </rPr>
      <t xml:space="preserve">งบประมาณทั้งสิ้น 183,932.00 บาท </t>
    </r>
  </si>
  <si>
    <r>
      <t xml:space="preserve">ตามสัญญารับทุนอุดหนุนการวิจัยและ
นวัตกรรม เรื่องการพัฒนาทักษะผู้ประกอบการ
ที่ขับเคลื่อนโดยนวัตกรรมของนักเรียนกลุ่ม
เปราะบางในจังหวัดปัตตานี งวดที่ 3
</t>
    </r>
    <r>
      <rPr>
        <b/>
        <sz val="13"/>
        <color indexed="10"/>
        <rFont val="Angsana New"/>
        <family val="1"/>
      </rPr>
      <t>งบประมาณทั้งสิ้น 735,240 บาท</t>
    </r>
    <r>
      <rPr>
        <sz val="13"/>
        <color indexed="8"/>
        <rFont val="Angsana New"/>
        <family val="1"/>
      </rPr>
      <t xml:space="preserve">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</si>
  <si>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1 
</t>
    </r>
    <r>
      <rPr>
        <b/>
        <sz val="13"/>
        <color indexed="10"/>
        <rFont val="Angsana New"/>
        <family val="1"/>
      </rPr>
      <t xml:space="preserve">งบประมาณทั้งสิ้น 450,000 บาท </t>
    </r>
  </si>
  <si>
    <r>
      <t xml:space="preserve">ตามสัญญาเลขที่ N71B650048  สำหรับ
ทุนสนับสนุสนการวิจัย เรื่อง การถ่ายทอดเทคโนโลยีการรับมือภัยพิบัติทางธรรมชาติด้วยระบบฐานข้อมูล ภายใต้ระยะเวลาดำเนินงาน 
27 มกราคม 2565 ถึง 26 มกราคม 2566 </t>
    </r>
    <r>
      <rPr>
        <b/>
        <sz val="13"/>
        <color indexed="10"/>
        <rFont val="Angsana New"/>
        <family val="1"/>
      </rPr>
      <t>งบประมาณทั้งสิ้น 500,000 บาท</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</si>
  <si>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1
</t>
    </r>
    <r>
      <rPr>
        <b/>
        <sz val="13"/>
        <color indexed="10"/>
        <rFont val="Angsana New"/>
        <family val="1"/>
      </rPr>
      <t xml:space="preserve">งบประมาณทั้งสิ้น 800,000 บาท </t>
    </r>
  </si>
  <si>
    <r>
      <t xml:space="preserve">ตามบันทึกข้อตกลงความร่วมมือระหว่าง
ภายใต้โครงการใช้เทคโนโลยีและนวัตกรรม
เพื่อการบริหารจัดการฟาร์มและสร้างความเป็นอัตลักษณ์ให้กับผลิตภัณฑ์ปศุสัตว์
ภาคใต้ชายแดน ปีงบประมาณ พ.ศ.2566 
(ระยะเวลาดำเนินการระหว่างเดือนมกราคม  
ถึงเดือนมิถุนายน 2566) งวดที่ 2
</t>
    </r>
    <r>
      <rPr>
        <b/>
        <sz val="13"/>
        <color indexed="10"/>
        <rFont val="Angsana New"/>
        <family val="1"/>
      </rPr>
      <t xml:space="preserve">งบประมาณทั้งสิ้น 1,600,000.00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</si>
  <si>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indexed="8"/>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</si>
  <si>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5</t>
    </r>
    <r>
      <rPr>
        <sz val="13"/>
        <color indexed="8"/>
        <rFont val="Angsana New"/>
        <family val="1"/>
      </rPr>
      <t xml:space="preserve"> บางแก้วโมเดล ประมง
พื้นบ้านแก้จน งวดที่ 1 
</t>
    </r>
    <r>
      <rPr>
        <b/>
        <sz val="13"/>
        <color indexed="10"/>
        <rFont val="Angsana New"/>
        <family val="1"/>
      </rPr>
      <t>วงเงินงบประมาณย่อย 1,100,000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</si>
  <si>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3 
</t>
    </r>
    <r>
      <rPr>
        <b/>
        <sz val="13"/>
        <color indexed="1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</si>
  <si>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3 </t>
    </r>
    <r>
      <rPr>
        <b/>
        <sz val="13"/>
        <color indexed="10"/>
        <rFont val="Angsana New"/>
        <family val="1"/>
      </rPr>
      <t>งบประมาณโครงการทั้งสิ้น 1,248,300 บ.</t>
    </r>
  </si>
  <si>
    <r>
      <t xml:space="preserve">โครงการทุนพัฒนาศักยภาพในการทำงาน
วิจัยของอาจารย์รุ่นใหม่ ปีงบประมาณ 2565 : 
สัญญาเลขที่ RGNS 64-086 งานวิจัยเรื่อง 
การพัฒนารูปแบบการบริการสารสนเทศ
ห้องสมุดมหาวิทยาลัยในกำกับของรัฐใน
จังหวัดภาคใต้ งวดที่ 2
</t>
    </r>
    <r>
      <rPr>
        <b/>
        <sz val="13"/>
        <color indexed="10"/>
        <rFont val="Angsana New"/>
        <family val="1"/>
      </rPr>
      <t>งบประมาณทั้งสิ้น 360,000.00 บาท</t>
    </r>
  </si>
  <si>
    <t>PR2-2566:51/2</t>
  </si>
  <si>
    <t>RV00020900066090641</t>
  </si>
  <si>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2 
</t>
    </r>
    <r>
      <rPr>
        <b/>
        <sz val="13"/>
        <color indexed="10"/>
        <rFont val="Angsana New"/>
        <family val="1"/>
      </rPr>
      <t xml:space="preserve">งบประมาณทั้งสิ้น 450,000 บาท </t>
    </r>
  </si>
  <si>
    <t>เล่มที่ 1140 เลขที่ 48</t>
  </si>
  <si>
    <t>RV00020900066090749</t>
  </si>
  <si>
    <t>เทศบาลตำบลยุโป</t>
  </si>
  <si>
    <r>
      <t xml:space="preserve">ตามใบสั่งจ้างเลขที่ 74/2566 ว่าจ้างสำรวจความพึงพอใจในการบริการสาธารณะของเทศบาลตำบลยุโป ประจำปีงบประมาณ 
พ.ศ. 2566
</t>
    </r>
    <r>
      <rPr>
        <b/>
        <sz val="13"/>
        <color indexed="10"/>
        <rFont val="Angsana New"/>
        <family val="1"/>
      </rPr>
      <t>งบประมาณทั้งสิ้น 19,000 บาท</t>
    </r>
  </si>
  <si>
    <r>
      <t xml:space="preserve">ตามข้อตกลงเลขที่ สวรส.64-197 สนับสนุน
ทุนวิจัย โครงการปัจจัยที่สัมพันธ์กับการคงอยู่
ในวิชาชีพของพยาบาล และการพัฒนา
ข้อเสนอเชิงนโยบายในการส่งเสริมการคงอยู่
ในวิชาชีพพยาบาลในสถานการณ์การแพร่ระบาดของโรคโควิด 19 งวดที่ 3
</t>
    </r>
    <r>
      <rPr>
        <b/>
        <sz val="13"/>
        <color indexed="10"/>
        <rFont val="Angsana New"/>
        <family val="1"/>
      </rPr>
      <t xml:space="preserve">งบประมาณทั้งสิ้น 681,978.00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</si>
  <si>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1-2 
</t>
    </r>
    <r>
      <rPr>
        <b/>
        <sz val="13"/>
        <color indexed="10"/>
        <rFont val="Angsana New"/>
        <family val="1"/>
      </rPr>
      <t xml:space="preserve">งบประมาณทั้งสิ้น 90,000 บาท </t>
    </r>
  </si>
  <si>
    <r>
      <t xml:space="preserve">ตามสัญญาจ้างทุนวิจัยเรื่อง การพัฒนาและ
นำเสนอแผนโครงการ ตลอดจนทำโครงการ
หรือกิจกรรมเพื่อการผลักดันนโยบายหรือ
สร้างนวัตกรรมขับเคลื่อนงานควบคุมยาสูบร่วมกับนักศึกษา งวดที่ 3 
</t>
    </r>
    <r>
      <rPr>
        <b/>
        <sz val="13"/>
        <color indexed="10"/>
        <rFont val="Angsana New"/>
        <family val="1"/>
      </rPr>
      <t xml:space="preserve">งบประมาณทั้งสิ้น 90,000 บาท </t>
    </r>
  </si>
  <si>
    <t>27/09/2566</t>
  </si>
  <si>
    <t>PR2-2566:49/47</t>
  </si>
  <si>
    <t>RV00020900066090553</t>
  </si>
  <si>
    <t>สำนักงานกองทุนสนับสนุนการสร้างเสริมสุขภาพ</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</si>
  <si>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1 
</t>
    </r>
    <r>
      <rPr>
        <b/>
        <sz val="13"/>
        <color indexed="10"/>
        <rFont val="Angsana New"/>
        <family val="1"/>
      </rPr>
      <t>วงเงินงบประมาณทั้งสิ้น 9,888,000 บาท</t>
    </r>
  </si>
  <si>
    <r>
      <t xml:space="preserve">เงินสนับสนุนการวิจัย เรื่อง Shrimp histological preparation and histological study งวดที่ 2-3 </t>
    </r>
    <r>
      <rPr>
        <b/>
        <sz val="13"/>
        <color indexed="10"/>
        <rFont val="Angsana New"/>
        <family val="1"/>
      </rPr>
      <t xml:space="preserve">งบประมาณทั้งสิ้น 201,250.00 บาท </t>
    </r>
  </si>
  <si>
    <r>
      <t xml:space="preserve">สัญญารับงบประมาณสนับสนุนความร่วมมือ
วิจัยภายใต้โครงการ TINI to University 2565 : 
โครงการการผลิตกระแสไฟฟ้าและการบำบัด
ทางชีวภาพของน้ำเสียชุมชนด้วยระบบบึง
ประดิษฐ์ร่วมกับเซลล์เชื้อเพลิงจุลินทรีย์ที่ใช้
แบคทีเรียทนรังสีแกมมาเป็นตัวเร่งปฏิกิริยา
ชีวภาพ งวดที่ 2
</t>
    </r>
    <r>
      <rPr>
        <b/>
        <sz val="13"/>
        <color indexed="10"/>
        <rFont val="Angsana New"/>
        <family val="1"/>
      </rPr>
      <t xml:space="preserve">วงเงินงบประมาณทั้งสิ้น 50,000 บาท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</si>
  <si>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ภายใต้
แผนงานชุมชนนวัตกรรมเพื่อการพัฒนาอย่าง
ยั่งยืนโปรแกรม 13 พัฒนานวัตกรรมสำหรับ
เศรษฐกิจฐานรากและชุมชนนวัตกรรมโดยใช้
วิทยาศาสตร์ วิจัยและนวัตกรรม แพลตฟอร์ม4 
การวิจัยและสร้างนวัตกรรม เพื่อการพัฒนาเชิง
พื้นที่และลดความเหลื่อมล้ำ งวดที่ 2
</t>
    </r>
    <r>
      <rPr>
        <b/>
        <sz val="13"/>
        <color indexed="10"/>
        <rFont val="Angsana New"/>
        <family val="1"/>
      </rPr>
      <t>งบประมาณทั้งสิ้น 4,000,000 บาท</t>
    </r>
    <r>
      <rPr>
        <sz val="13"/>
        <color indexed="8"/>
        <rFont val="Angsana New"/>
        <family val="1"/>
      </rPr>
      <t xml:space="preserve"> </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</si>
  <si>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1 การจัดการอนุรักษ์ปลาสาม
น้ำของชุมชนในลุ่มน้ำทะเลสาบสงขลาอย่างมี
ส่วนร่วมด้วยเทคโนโลยีและนวัตกรรมทาง
สังคม งวดที่ 2
</t>
    </r>
    <r>
      <rPr>
        <b/>
        <sz val="13"/>
        <color indexed="10"/>
        <rFont val="Angsana New"/>
        <family val="1"/>
      </rPr>
      <t>งบประมาณโครงการทั้งสิ้น 850,000 บาท</t>
    </r>
  </si>
  <si>
    <r>
      <t xml:space="preserve">ตามสัญญาเลขที่ 66A105000025 
สัญญารับทุนอุดหนุนการวิจัยประเภท
งานมูลฐาน (Fundamental Fund) กองทุนส่งเสริมวิทยาศาสตร์ วิจัยและนวัตกรรม มหาวิทยาลัยทักษิณ ประจำปีงบประมาณ
พ.ศ. 2566 โดยในสัญญาได้มีผู้ร่วมทุนเพื่อ  
สนับสนุนทุนวิจัยร่วมเรื่อง เห็ดป่าในป่าสาคู
จังหวัดพัทลุง สู่การนำไปใช้ประโยชน์เพื่อ
พัฒนาต่อยอดทางอุตสาหกรรมเกษตร 
</t>
    </r>
    <r>
      <rPr>
        <b/>
        <sz val="13"/>
        <color indexed="10"/>
        <rFont val="Angsana New"/>
        <family val="1"/>
      </rPr>
      <t>วงเงินร่วมวิจัย 40,000 บาท 
(โดยงบประมาณการร่วมทุนได้รับยกเว้น
การเก็บค่าธรรมเนียมอุดหนุนสถาบัน)</t>
    </r>
  </si>
  <si>
    <r>
      <t xml:space="preserve">โครงการทุนพัฒนาศักยภาพในการทำงาน
วิจัยของอาจารย์รุ่นใหม่ ปีงบประมาณ 2564 : 
สัญญาเลขที่ RGNS 63-084 งานวิจัยเรื่อง 
การคอมโพสิตสารผสม Fe2O3 และ CuO 
กับแผ่นนาโนเคลย์ไอออนลบเพื่อเพิ่มการผลิต
ไฮโดรเจนจากน้ำด้วยการเร่งปฏิกิริยาเชิงแสง
วิสิเบิล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</si>
  <si>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โครงการย่อยที่ 1 โมเดลแก้จนสวัสดิการชุมชน
เกื้อกูล : คนเมืองลุงไม่ทอดทิ้งกัน งวดที่ 2
</t>
    </r>
    <r>
      <rPr>
        <b/>
        <sz val="13"/>
        <color indexed="10"/>
        <rFont val="Angsana New"/>
        <family val="1"/>
      </rPr>
      <t>งบประมาณทั้งสิ้น 2,237,799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</si>
  <si>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3 
</t>
    </r>
    <r>
      <rPr>
        <b/>
        <sz val="13"/>
        <color indexed="10"/>
        <rFont val="Angsana New"/>
        <family val="1"/>
      </rPr>
      <t>งบประมาณทั้งสิ้น 700,000 บาท</t>
    </r>
    <r>
      <rPr>
        <sz val="13"/>
        <color indexed="8"/>
        <rFont val="Angsana New"/>
        <family val="1"/>
      </rPr>
      <t xml:space="preserve">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</si>
  <si>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1 
</t>
    </r>
    <r>
      <rPr>
        <b/>
        <sz val="13"/>
        <color indexed="10"/>
        <rFont val="Angsana New"/>
        <family val="1"/>
      </rPr>
      <t xml:space="preserve">งบประมาณทั้งสิ้น 50,000 บาท </t>
    </r>
  </si>
  <si>
    <r>
      <t xml:space="preserve">ตามบันทึกข้อตกลงความร่วมมือโครงการ
ส่งเสริมความร่วมมือการใช้ศักยภาพ
โครงสร้างพื้นฐานทางนิวเคลียร์และ
เครื่องมือวิจัย ภายใต้โครงการการพัฒนา
สายพันธุ์ของสาหร่ายเตาด้วยการใช้เทคนิค
การฉายรังสีแกมมาและนิวตรอน งวดที่ 1
</t>
    </r>
    <r>
      <rPr>
        <b/>
        <sz val="13"/>
        <color indexed="10"/>
        <rFont val="Angsana New"/>
        <family val="1"/>
      </rPr>
      <t>งบประมาณทั้งสิ้น 50,000 บาท</t>
    </r>
    <r>
      <rPr>
        <sz val="13"/>
        <color indexed="8"/>
        <rFont val="Angsana New"/>
        <family val="1"/>
      </rPr>
      <t xml:space="preserve"> </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</si>
  <si>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1
</t>
    </r>
    <r>
      <rPr>
        <b/>
        <sz val="13"/>
        <color indexed="1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</si>
  <si>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1
</t>
    </r>
    <r>
      <rPr>
        <b/>
        <sz val="13"/>
        <color indexed="10"/>
        <rFont val="Angsana New"/>
        <family val="1"/>
      </rPr>
      <t xml:space="preserve">งบประมาณทั้งสิ้น 580,000 บาท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</si>
  <si>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1 
</t>
    </r>
    <r>
      <rPr>
        <b/>
        <sz val="13"/>
        <color indexed="10"/>
        <rFont val="Angsana New"/>
        <family val="1"/>
      </rPr>
      <t xml:space="preserve">งบประมาณทั้งสิ้น 250,000 บาท </t>
    </r>
  </si>
  <si>
    <t>หักงวดสุดท้าย</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</si>
  <si>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1 
</t>
    </r>
    <r>
      <rPr>
        <b/>
        <sz val="13"/>
        <color indexed="10"/>
        <rFont val="Angsana New"/>
        <family val="1"/>
      </rPr>
      <t xml:space="preserve">งบประมาณทั้งสิ้น 450,000 บาท </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</si>
  <si>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1
</t>
    </r>
    <r>
      <rPr>
        <b/>
        <sz val="13"/>
        <color indexed="10"/>
        <rFont val="Angsana New"/>
        <family val="1"/>
      </rPr>
      <t>งบประมาณทั้งสิ้น 600,000.00 บาท</t>
    </r>
    <r>
      <rPr>
        <sz val="13"/>
        <color indexed="8"/>
        <rFont val="Angsana New"/>
        <family val="1"/>
      </rPr>
      <t xml:space="preserve">
</t>
    </r>
    <r>
      <rPr>
        <b/>
        <sz val="13"/>
        <color indexed="1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</si>
  <si>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1</t>
    </r>
    <r>
      <rPr>
        <b/>
        <sz val="13"/>
        <color indexed="1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</si>
  <si>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1</t>
    </r>
    <r>
      <rPr>
        <sz val="13"/>
        <color indexed="8"/>
        <rFont val="Angsana New"/>
        <family val="1"/>
      </rPr>
      <t xml:space="preserve"> การพัฒนานวัตกรรม
การเลี้ยงปลาดุกลูกผสมเพื่อผลิตเป็นวัตถุดิบ
สำหรับแปรรูปผลิตภัณฑ์ปลาดุกร้า งวดที่ 1
</t>
    </r>
    <r>
      <rPr>
        <b/>
        <sz val="13"/>
        <color indexed="10"/>
        <rFont val="Angsana New"/>
        <family val="1"/>
      </rPr>
      <t>วงเงินงบประมาณย่อย 682,000 บาท</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</si>
  <si>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3
</t>
    </r>
    <r>
      <rPr>
        <b/>
        <sz val="13"/>
        <color indexed="10"/>
        <rFont val="Angsana New"/>
        <family val="1"/>
      </rPr>
      <t xml:space="preserve">วงเงินทั้งสิ้น 420,000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</si>
  <si>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2</t>
    </r>
    <r>
      <rPr>
        <sz val="13"/>
        <color indexed="8"/>
        <rFont val="Angsana New"/>
        <family val="1"/>
      </rPr>
      <t xml:space="preserve"> การยกระดับเศรษฐกิจ
ชุมชนด้วยโมเดลธุรกิจชุมชนเกื้อกูลตาม
ภูมินิเวศเขา-นา จังหวัดพัทลุง งวดที่ 1 
</t>
    </r>
    <r>
      <rPr>
        <b/>
        <sz val="13"/>
        <color indexed="1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</si>
  <si>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8</t>
    </r>
    <r>
      <rPr>
        <sz val="13"/>
        <color indexed="8"/>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1
</t>
    </r>
    <r>
      <rPr>
        <b/>
        <sz val="13"/>
        <color indexed="10"/>
        <rFont val="Angsana New"/>
        <family val="1"/>
      </rPr>
      <t>วงเงินงบประมาณย่อย 1,000,000 บาท</t>
    </r>
  </si>
  <si>
    <r>
      <t xml:space="preserve">ตามสัญญาเลขที่ วช.อว.(อ)(กบท1)/200/2564 
เรื่อง การพัฒนานวัตกรรมอเนกประสงค์
สำหรับบำบัดน้ำเสีย ระยะเวลา 27 เมษายน 
2564 - 26 ตุลาคม 2565 
</t>
    </r>
    <r>
      <rPr>
        <b/>
        <sz val="13"/>
        <color indexed="10"/>
        <rFont val="Angsana New"/>
        <family val="1"/>
      </rPr>
      <t>งบประมาณทั้งสิ้น 450,000 บาท</t>
    </r>
    <r>
      <rPr>
        <sz val="13"/>
        <color indexed="8"/>
        <rFont val="Angsana New"/>
        <family val="1"/>
      </rPr>
      <t xml:space="preserve"> </t>
    </r>
  </si>
  <si>
    <r>
      <t xml:space="preserve">ตามสัญญาเลขที่ N71B650090  เรื่อง 
นวัตกรรมการผลิตปุ๋ยชีวภาพจากวัสดุ
เหลือทิ้งทางการเกษตร ด้วยกระบวนการหมัก
แบบไร้อากาศ ระยะเวลา 31 มกราคม 2565
ถึง 30 มกราคม 2566 
</t>
    </r>
    <r>
      <rPr>
        <b/>
        <sz val="13"/>
        <color indexed="10"/>
        <rFont val="Angsana New"/>
        <family val="1"/>
      </rPr>
      <t>งบประมาณทั้งสิ้น 450,000 บาท</t>
    </r>
    <r>
      <rPr>
        <sz val="13"/>
        <color indexed="8"/>
        <rFont val="Angsana New"/>
        <family val="1"/>
      </rPr>
      <t xml:space="preserve"> </t>
    </r>
  </si>
  <si>
    <r>
      <t xml:space="preserve">ตามสัญญารับทุนอุดหนุนการวิจัยและ
นวัตกรรม เรื่องเครือข่ายความร่วมมือระหว่าง
กลุ่มเกษตรกรสวนปาล์มน้ำมันและสถาน
ประกอบการในการพัฒนาการทำปาล์มน้ำมัน
คุณภาพมูลค่าสูง และการจัดการของเสียแบบ
หมุนเวียนและสร้างมูลค่า งวดที่ 4 
</t>
    </r>
    <r>
      <rPr>
        <b/>
        <sz val="13"/>
        <color indexed="10"/>
        <rFont val="Angsana New"/>
        <family val="1"/>
      </rPr>
      <t>งบประมาณทั้งสิ้น 700,000 บาท</t>
    </r>
    <r>
      <rPr>
        <sz val="13"/>
        <color indexed="8"/>
        <rFont val="Angsana New"/>
        <family val="1"/>
      </rPr>
      <t xml:space="preserve"> </t>
    </r>
  </si>
  <si>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1
</t>
    </r>
    <r>
      <rPr>
        <b/>
        <sz val="13"/>
        <color indexed="10"/>
        <rFont val="Angsana New"/>
        <family val="1"/>
      </rPr>
      <t>วงเงินงบประมาณทั้งสิ้น 128,000 บาท</t>
    </r>
  </si>
  <si>
    <t>19/09/2566</t>
  </si>
  <si>
    <t>PR2-2566:47/47</t>
  </si>
  <si>
    <t>RV00020900066090369</t>
  </si>
  <si>
    <r>
      <t xml:space="preserve">ตามสัญญาเลขที่ RII-TDU 001/2566 
ว่าจ้างดำเนินการศึกษาและวิจัยเกี่ยวกับ 
ประสิทธิภาพของสารแอนไทเซนส์ต่อการ
ยับยั้งเชื้อแบคทีเรียวิบริโอในกุ้งขาว ภายในระยะเวลา 3 กรกฎาคม - 2 กันยายน 2566 
งวดที่ 2
</t>
    </r>
    <r>
      <rPr>
        <b/>
        <sz val="13"/>
        <color indexed="10"/>
        <rFont val="Angsana New"/>
        <family val="1"/>
      </rPr>
      <t>วงเงินงบประมาณทั้งสิ้น 128,000 บาท</t>
    </r>
  </si>
  <si>
    <t>PR2-2566:47/46</t>
  </si>
  <si>
    <t>RV00020900066090371</t>
  </si>
  <si>
    <t>ผศ.ดร.ศุภชัย นิติพันธ์</t>
  </si>
  <si>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indexed="10"/>
        <rFont val="Angsana New"/>
        <family val="1"/>
      </rPr>
      <t>วงเงินงบประมาณทั้งสิ้น 35,000 บาท</t>
    </r>
    <r>
      <rPr>
        <sz val="13"/>
        <color indexed="8"/>
        <rFont val="Angsana New"/>
        <family val="1"/>
      </rPr>
      <t xml:space="preserve"> </t>
    </r>
  </si>
  <si>
    <t>PR2-2566:50/23</t>
  </si>
  <si>
    <t>RV00020900066090620</t>
  </si>
  <si>
    <t>องค์การบริหารส่วน
จังหวัดยะลา</t>
  </si>
  <si>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t>
    </r>
    <r>
      <rPr>
        <b/>
        <sz val="13"/>
        <color indexed="10"/>
        <rFont val="Angsana New"/>
        <family val="1"/>
      </rPr>
      <t>งบประมาณทั้งสิ้น 400,000 บาท</t>
    </r>
    <r>
      <rPr>
        <sz val="13"/>
        <color indexed="8"/>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</si>
  <si>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2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</si>
  <si>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2 
</t>
    </r>
    <r>
      <rPr>
        <b/>
        <sz val="13"/>
        <color indexed="10"/>
        <rFont val="Angsana New"/>
        <family val="1"/>
      </rPr>
      <t>งบประมาณโครงการทั้งสิ้น 844,200 บาท</t>
    </r>
  </si>
  <si>
    <r>
      <t xml:space="preserve">โครงการทุนพัฒนาศักยภาพในการทำงาน
วิจัยของอาจารย์รุ่นใหม่ ปีงบประมาณ 2564 : 
สัญญาเลขที่ RGNS 63-086 งานวิจัยเรื่อง 
การศึกษาเชิงทดลองและเชิงตัวเลขเกี่ยวกับ
ลักษณะเฉพาะของการไหลและการถ่ายเท
ความร้อนของคอนเดนเซอร์แบบท่อติดครีบ
เกลียว งวดที่ 1 (ยกเว้นเงินอุดหนุนสถาบัน)
</t>
    </r>
    <r>
      <rPr>
        <b/>
        <sz val="13"/>
        <color indexed="10"/>
        <rFont val="Angsana New"/>
        <family val="1"/>
      </rPr>
      <t>งบประมาณทั้งสิ้น 582,000.00 บาท</t>
    </r>
    <r>
      <rPr>
        <sz val="13"/>
        <color indexed="10"/>
        <rFont val="Angsana New"/>
        <family val="1"/>
      </rPr>
      <t xml:space="preserve">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</si>
  <si>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1</t>
    </r>
    <r>
      <rPr>
        <b/>
        <sz val="13"/>
        <color indexed="1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</si>
  <si>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3 </t>
    </r>
    <r>
      <rPr>
        <b/>
        <sz val="13"/>
        <color indexed="1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</si>
  <si>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3 
</t>
    </r>
    <r>
      <rPr>
        <b/>
        <sz val="13"/>
        <color indexed="10"/>
        <rFont val="Angsana New"/>
        <family val="1"/>
      </rPr>
      <t>งบประมาณโครงการทั้งสิ้น 844,200 บาท</t>
    </r>
  </si>
  <si>
    <r>
      <t xml:space="preserve">ตามสัญญาเลขที่ A13F650041 : สัญญา
ให้ทุนโครงการ โนรา การขับเคลื่อนเศรษฐกิจ
สร้างสรรค์บนพื้นที่ทางวัฒนธรรมลุ่มน้ำ
ทะเลสาบสงขลา ภายใต้แผนงาน การพัฒนา
พื้นที่ด้วยองค์ความรู้จากมหาวิทยาลัย 
โปรแกรม13 พัฒนานวัตกรรมสำหรับเศรษฐกิจ
ฐานรากและชุมชนนวัตกรรมโดยใช้
วิทยาศาสตร์ วิจัยและนวัตกรรมแพลตฟอร์ม 4 
การวิจัยและสร้างนวัตกรรม เพื่อการพัฒนาเชิง
พื้นที่และลดความเหลื่อมล้ำ งวดที่ 2
</t>
    </r>
    <r>
      <rPr>
        <b/>
        <sz val="13"/>
        <color indexed="10"/>
        <rFont val="Angsana New"/>
        <family val="1"/>
      </rPr>
      <t xml:space="preserve">งบประมาณทั้งสิ้น 1,500,000 บาท </t>
    </r>
  </si>
  <si>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3
</t>
    </r>
    <r>
      <rPr>
        <b/>
        <sz val="13"/>
        <color indexed="10"/>
        <rFont val="Angsana New"/>
        <family val="1"/>
      </rPr>
      <t>งบประมาณทั้งสิ้น 530,000 บาท</t>
    </r>
    <r>
      <rPr>
        <sz val="13"/>
        <color indexed="8"/>
        <rFont val="Angsana New"/>
        <family val="1"/>
      </rPr>
      <t xml:space="preserve"> </t>
    </r>
  </si>
  <si>
    <t>PR2-2566:47/48</t>
  </si>
  <si>
    <t>RV00020900066090370</t>
  </si>
  <si>
    <r>
      <t xml:space="preserve">ตามสัญญารับทุนอุดหนุนการวิจัยและ
นวัตกรรม เรื่อง นวัตกรรมมรดกภูมิปัญญา
อาหารพื้นถิ่นสำรับลังกาสุกะจังหวัดชายแดน
ภาคใต้ งวดที่ 4
</t>
    </r>
    <r>
      <rPr>
        <b/>
        <sz val="13"/>
        <color indexed="10"/>
        <rFont val="Angsana New"/>
        <family val="1"/>
      </rPr>
      <t>งบประมาณทั้งสิ้น 530,000 บาท</t>
    </r>
    <r>
      <rPr>
        <sz val="13"/>
        <color indexed="8"/>
        <rFont val="Angsana New"/>
        <family val="1"/>
      </rPr>
      <t xml:space="preserve">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</si>
  <si>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1
</t>
    </r>
    <r>
      <rPr>
        <b/>
        <sz val="13"/>
        <color indexed="10"/>
        <rFont val="Angsana New"/>
        <family val="1"/>
      </rPr>
      <t xml:space="preserve">วงเงินงบประมาณทั้งสิ้น 3,000,000 บาท </t>
    </r>
  </si>
  <si>
    <r>
      <t xml:space="preserve">ตามสัญญาจ้างที่ปรึกษา เลขที่ กอ.5/2565  
ว่าจ้างที่ปรึกษาดำเนินการติดตามและ
ประเมินผลโครงการผลิตครูเพื่อพัฒนาท้องถิ่น 
ประจำปีงบประมาณ พ.ศ. 2564 (ปฏิบัติงาน 
เริ่ม 13/10/2564 ถึง 09/07/2565) เงินประกัน
ผลงานงวดที่ 2
</t>
    </r>
    <r>
      <rPr>
        <b/>
        <sz val="13"/>
        <color indexed="10"/>
        <rFont val="Angsana New"/>
        <family val="1"/>
      </rPr>
      <t xml:space="preserve">วงเงินงบประมาณทั้งสิ้น 3,000,000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</si>
  <si>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1
</t>
    </r>
    <r>
      <rPr>
        <b/>
        <sz val="13"/>
        <color indexed="10"/>
        <rFont val="Angsana New"/>
        <family val="1"/>
      </rPr>
      <t xml:space="preserve">งบประมาณทั้งสิ้น 600,000 บาท </t>
    </r>
  </si>
  <si>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1 
</t>
    </r>
    <r>
      <rPr>
        <b/>
        <sz val="13"/>
        <color indexed="10"/>
        <rFont val="Angsana New"/>
        <family val="1"/>
      </rPr>
      <t>งบประมาณทั้งสิ้น 340,000.00 บาท</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</si>
  <si>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งวดที่ 1 
</t>
    </r>
    <r>
      <rPr>
        <b/>
        <sz val="13"/>
        <color indexed="10"/>
        <rFont val="Angsana New"/>
        <family val="1"/>
      </rPr>
      <t xml:space="preserve">งบประมาณทั้งสิ้น 3,600,000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</si>
  <si>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1</t>
    </r>
    <r>
      <rPr>
        <sz val="13"/>
        <color indexed="8"/>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</si>
  <si>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indexed="8"/>
        <rFont val="Angsana New"/>
        <family val="1"/>
      </rPr>
      <t>โครงการวิจัยย่อยที่ 2</t>
    </r>
    <r>
      <rPr>
        <sz val="13"/>
        <color indexed="8"/>
        <rFont val="Angsana New"/>
        <family val="1"/>
      </rPr>
      <t xml:space="preserve"> การพัฒนาหลักสูตร
ฐานสมรรถนะการเรียนรู้ทักษะอาชีพ โดยใช้
ชุมชนการเรียนรู้ทางวิชาชีพ งวดที่ 1
</t>
    </r>
    <r>
      <rPr>
        <b/>
        <sz val="13"/>
        <color indexed="10"/>
        <rFont val="Angsana New"/>
        <family val="1"/>
      </rPr>
      <t>วงเงินงบประมาณย่อย 1,415,000 บาท</t>
    </r>
    <r>
      <rPr>
        <sz val="13"/>
        <color indexed="8"/>
        <rFont val="Angsana New"/>
        <family val="1"/>
      </rPr>
      <t xml:space="preserve"> </t>
    </r>
  </si>
  <si>
    <r>
      <t xml:space="preserve">ตามรหัสโครงการ 4593395 ระบบบริหาร
จัดการตนเองเพื่อพัฒนาคุณภาพการศึกษา
ในพื้นที่นวัตกรรมการศึกษาจังหวัดสตูล ของมูลนิธิคลองโต๊ะเหล็มอะคาเดมี โดยได้มอบมหาวิทยาลัยทักษิณ ดำเนินการร่วมทุนวิจัยภายใต้โครงการย่อยที่ 3 การออกแบบวัดและ
ประเมินผลตามหลักสูตรฐานสมรรถนะใน
โรงเรียนนำร่องพื้นที่นวัตกรรมการศึกษา 
จ.สตูล งวดที่ 3 
</t>
    </r>
    <r>
      <rPr>
        <b/>
        <sz val="13"/>
        <color indexed="10"/>
        <rFont val="Angsana New"/>
        <family val="1"/>
      </rPr>
      <t xml:space="preserve">งบประมาณโครงการย่อย 499,000 บาท </t>
    </r>
  </si>
  <si>
    <t>PR2-2566:50/40</t>
  </si>
  <si>
    <t>RV00020900066090656</t>
  </si>
  <si>
    <r>
      <t xml:space="preserve">โครงการพัฒนาคุณภาพการศึกษาและ
การพัฒนาท้องถิ่น โดยมีสถาบันอุดมศึกษา
เป็นพี่เลี้ยง เครือข่ายเพื่อการพัฒนาอุดมศึกษาภาคใต้ตอนล่าง ประจำปีงบประมาณ 
พ.ศ.2566 โครงการเรื่อง การพัฒนาทักษะ
ชีวิตและแก้ปัญหาด้านสุขภาพภายหลัง
จากสถานการณ์โควิด 19 โดยใช้กิจกรรม
ทางกายในรูปแบบ PLC สู่สังคมที่ยั่งยืนของ
นักเรียนระดับประถมศึกษา ในโรงเรียนขนาด
เล็กและขนาดกลางเขตจังหวัดสงขลา-พัทลุง 
งวดที่ 2 
</t>
    </r>
    <r>
      <rPr>
        <b/>
        <sz val="13"/>
        <color indexed="10"/>
        <rFont val="Angsana New"/>
        <family val="1"/>
      </rPr>
      <t>งบประมาณทั้งสิ้น 340,000.00 บาท</t>
    </r>
  </si>
  <si>
    <r>
      <t xml:space="preserve">ทุนอุดหนุนดำเนินการวิจัยแผนงานวิจัย เรื่อง 
สำรวจความพึงพอใจของประชาชนที่มีผลต่อ
การดำเนินงานขององค์กรปกครองส่วนท้องถิ่น 
ประจำปีงบประมาณ พ.ศ.2565-2568  
</t>
    </r>
    <r>
      <rPr>
        <sz val="13"/>
        <color indexed="10"/>
        <rFont val="Angsana New"/>
        <family val="1"/>
      </rPr>
      <t>(ค่าหลักประกันสัญญา/เงินประกันผลงาน 
ขององค์การบริหารส่วนตำบลมะม่วงสองต้น อำเภอเมือง จังหวัดนครศรีธรรมราช)</t>
    </r>
  </si>
  <si>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3 การจัดการตลาดเพื่อเพิ่ม
ศักยภาพผลิตภัณฑ์ปลาสามน้ำและการ
ท่องเที่ยวโดยชุมชนลุ่มน้ำทะเลสาบสงขลา 
งวดที่ 2
</t>
    </r>
    <r>
      <rPr>
        <b/>
        <sz val="13"/>
        <color indexed="10"/>
        <rFont val="Angsana New"/>
        <family val="1"/>
      </rPr>
      <t>งบประมาณโครงการทั้งสิ้น 650,000 บาท</t>
    </r>
  </si>
  <si>
    <r>
      <t xml:space="preserve">โครงการทุนพัฒนาศักยภาพในการทำงาน
วิจัยของอาจารย์รุ่นใหม่ ปีงบประมาณ 2564 : 
สัญญาเลขที่ RGNS 63-085 งานวิจัยเรื่อง 
ประสิทธิภาพการลงทุนของกิจการกลุ่ม
อุตสาหกรรมเป้าหมายในตลาดหลักทรัพย์
แห่งประเทศไทย : บทบาทการควบตำแหน่ง
ของผู้บริหารและคุณภาพรายงานทางการเงิน 
งวดที่ 2 (ยกเว้นเงินอุดหนุนสถาบัน)
</t>
    </r>
    <r>
      <rPr>
        <b/>
        <sz val="13"/>
        <color indexed="10"/>
        <rFont val="Angsana New"/>
        <family val="1"/>
      </rPr>
      <t>งบประมาณทั้งสิ้น 600,000.00 บาท</t>
    </r>
    <r>
      <rPr>
        <sz val="13"/>
        <color indexed="10"/>
        <rFont val="Angsana New"/>
        <family val="1"/>
      </rPr>
      <t xml:space="preserve">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</si>
  <si>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1
</t>
    </r>
    <r>
      <rPr>
        <b/>
        <sz val="13"/>
        <color indexed="10"/>
        <rFont val="Angsana New"/>
        <family val="1"/>
      </rPr>
      <t xml:space="preserve">งบประมาณทั้งสิ้น 400,000 บาท </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</si>
  <si>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3</t>
    </r>
    <r>
      <rPr>
        <sz val="13"/>
        <color indexed="8"/>
        <rFont val="Angsana New"/>
        <family val="1"/>
      </rPr>
      <t xml:space="preserve"> การพัฒนาช่องทางการตลาดผลิตภัณฑ์ปลาดุกร้าในพื้นที่รอบ
ลุ่มน้ำทะเลสาบสงขลา งวดที่ 1
</t>
    </r>
    <r>
      <rPr>
        <b/>
        <sz val="13"/>
        <color indexed="10"/>
        <rFont val="Angsana New"/>
        <family val="1"/>
      </rPr>
      <t xml:space="preserve">วงเงินงบประมาณย่อย 466,950 บาท </t>
    </r>
  </si>
  <si>
    <t>07/09/2566</t>
  </si>
  <si>
    <t>PL2-2566:6/1</t>
  </si>
  <si>
    <t>RV00020900066090063</t>
  </si>
  <si>
    <r>
      <t xml:space="preserve">องค์กรปกครองส่วนท้องถิ่น
จำนวน 1 หน่วยงาน
</t>
    </r>
    <r>
      <rPr>
        <b/>
        <sz val="13"/>
        <color indexed="10"/>
        <rFont val="Angsana New"/>
        <family val="1"/>
      </rPr>
      <t>(เทศบาลเมืองระนอง)</t>
    </r>
  </si>
  <si>
    <t>PL2-2566:6/28</t>
  </si>
  <si>
    <t>RV00020900066090657</t>
  </si>
  <si>
    <t>PL2-2566:6/27</t>
  </si>
  <si>
    <t>RV00020900066090658</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</si>
  <si>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ประสิทธิผลการปฏิบัติราชการขององค์กรปกครองส่วนท้องถิ่น ประจำปีงบประมาณ 
พ.ศ. 2566 </t>
  </si>
  <si>
    <t>PL2-2566:6/30</t>
  </si>
  <si>
    <t>RV00020900066090659</t>
  </si>
  <si>
    <t>30/09/2566</t>
  </si>
  <si>
    <t>JV00020900066090098</t>
  </si>
  <si>
    <t>องค์กรปกครองส่วนท้องถิ่น
จำนวน 106 หน่วยงาน</t>
  </si>
  <si>
    <r>
      <t xml:space="preserve">ตามสัญญาเลขที่ A13F650068 สัญญาให้ทุน
โครงการ การจัดการเครือข่ายเชิงพื้นที่ด้วยการ
สร้างนวัตกรรมการเรียนรู้บนฐานภูมิปัญญา
ท้องถิ่นเพื่อสร้างต้นแบบการพัฒนาชุมชนปลา
สามน้ำในพื้นที่ลุ่มน้ำทะเลสาบสงขลา : 
โครงการย่อยที่ 2 การจัดการกระบวนการผลิต
เพื่อลดต้นทุนและเพิ่มมูลค่าผลิตภัณฑ์ปลาสาม
น้ำด้วยเทคโนโลยีและนวัตกรรมในเขตพื้นที่ลุ่ม
ทะเลสาบสงขลา งวดที่ 2 
</t>
    </r>
    <r>
      <rPr>
        <b/>
        <sz val="13"/>
        <color indexed="10"/>
        <rFont val="Angsana New"/>
        <family val="1"/>
      </rPr>
      <t>งบประมาณโครงการทั้งสิ้น 500,000 บาท</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</si>
  <si>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1-3 </t>
    </r>
    <r>
      <rPr>
        <b/>
        <sz val="13"/>
        <color indexed="10"/>
        <rFont val="Angsana New"/>
        <family val="1"/>
      </rPr>
      <t>งบประมาณทั้งสิ้น 699,999.00 บาท</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</si>
  <si>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1
</t>
    </r>
    <r>
      <rPr>
        <b/>
        <sz val="13"/>
        <color indexed="1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</si>
  <si>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indexed="8"/>
        <rFont val="Angsana New"/>
        <family val="1"/>
      </rPr>
      <t>โครงการวิจัยย่อยที่ 2</t>
    </r>
    <r>
      <rPr>
        <sz val="13"/>
        <color indexed="8"/>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1
</t>
    </r>
    <r>
      <rPr>
        <b/>
        <sz val="13"/>
        <color indexed="10"/>
        <rFont val="Angsana New"/>
        <family val="1"/>
      </rPr>
      <t>วงเงินงบประมาณย่อย 1,169,232 บาท</t>
    </r>
    <r>
      <rPr>
        <sz val="13"/>
        <color indexed="8"/>
        <rFont val="Angsana New"/>
        <family val="1"/>
      </rPr>
      <t xml:space="preserve"> </t>
    </r>
  </si>
  <si>
    <r>
      <t xml:space="preserve">ตามสัญญาเลขที่ PRP6505031060 
สัญญารับทุนอุดหนุนโครงการวิจัยการเกษตร 
เรื่อง การพัฒนากระบวนการแปรรูปและ
การควบคุมคุณภาพของผลิตภัณฑ์กะปิปลา
ไส้ตันตาแดงโดยใช้วิธีการทำแห้งแบบดั้งเดิม
และวิธีการทำแห้งด้วยตู้อบลมร้อน งวดที่ 4 </t>
    </r>
    <r>
      <rPr>
        <b/>
        <sz val="13"/>
        <color indexed="10"/>
        <rFont val="Angsana New"/>
        <family val="1"/>
      </rPr>
      <t>งบประมาณทั้งสิ้น 699,999.00 บาท</t>
    </r>
  </si>
  <si>
    <t>กำกับดูแลสถาบันวิจัย
และพัฒนา</t>
  </si>
  <si>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2
</t>
    </r>
    <r>
      <rPr>
        <b/>
        <sz val="13"/>
        <color indexed="10"/>
        <rFont val="Angsana New"/>
        <family val="1"/>
      </rPr>
      <t>วงเงินงบประมาณทั้งสิ้น 500,000 บาท</t>
    </r>
    <r>
      <rPr>
        <sz val="13"/>
        <color indexed="8"/>
        <rFont val="Angsana New"/>
        <family val="1"/>
      </rPr>
      <t xml:space="preserve"> </t>
    </r>
  </si>
  <si>
    <r>
      <t>ตามสัญญาเลขที่ A14F640066 ของ สัญญา
ให้ทุนโครงการวิจัยและนวัตกรรมเพื่อแก้ไขปัญหาความยากจนอย่างเบ็ดเสร็จและแม่นยำในจังหวัดพัทลุง (</t>
    </r>
    <r>
      <rPr>
        <b/>
        <sz val="13"/>
        <color indexed="10"/>
        <rFont val="Angsana New"/>
        <family val="1"/>
      </rPr>
      <t>สำหรับงบลงทุน/ครุภัณฑ์)</t>
    </r>
    <r>
      <rPr>
        <sz val="13"/>
        <color indexed="8"/>
        <rFont val="Angsana New"/>
        <family val="1"/>
      </rPr>
      <t xml:space="preserve">
งวดสุดท้าย
</t>
    </r>
    <r>
      <rPr>
        <b/>
        <sz val="13"/>
        <color indexed="10"/>
        <rFont val="Angsana New"/>
        <family val="1"/>
      </rPr>
      <t>งบประมาณทั้งสิ้น 7,700,000 บาท</t>
    </r>
    <r>
      <rPr>
        <b/>
        <sz val="13"/>
        <color indexed="8"/>
        <rFont val="Angsana New"/>
        <family val="1"/>
      </rPr>
      <t xml:space="preserve"> </t>
    </r>
    <r>
      <rPr>
        <sz val="13"/>
        <color indexed="8"/>
        <rFont val="Angsana New"/>
        <family val="1"/>
      </rPr>
      <t xml:space="preserve">
</t>
    </r>
  </si>
  <si>
    <r>
      <t xml:space="preserve">ตามสัญญาจ้างที่ปรึกษา เลขที่ 88/2565 
ว่าจ้างที่ปรึกษาโครงการสำรวจจัดทำข้อมูล
และข้อเสนอในการแก้ไขปัญหาด้านสิทธิใน
สถานะบุคคลตามกฎหมายของประชากรที่ไม่
สามารถเข้าสู่กระบวนการขอรับรองความเป็น
คนไทยพลัดถิ่นในพื้นที่จังหวัดชุมพร ระนอง 
ประจวบคีรีขันธ์ และพังงา งวดที่ 3
</t>
    </r>
    <r>
      <rPr>
        <b/>
        <sz val="13"/>
        <color indexed="10"/>
        <rFont val="Angsana New"/>
        <family val="1"/>
      </rPr>
      <t>วงเงินงบประมาณทั้งสิ้น 500,000 บาท</t>
    </r>
    <r>
      <rPr>
        <sz val="13"/>
        <color indexed="8"/>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</si>
  <si>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indexed="8"/>
        <rFont val="Angsana New"/>
        <family val="1"/>
      </rPr>
      <t>(งบประมาณทั้งสิ้น 8,500,000 บาท)</t>
    </r>
    <r>
      <rPr>
        <sz val="13"/>
        <color indexed="8"/>
        <rFont val="Angsana New"/>
        <family val="1"/>
      </rPr>
      <t xml:space="preserve"> 
โดยแบ่งเป็นโครงการบริหารจัดการเพื่อแก้ไข
ปัญหาความยากจนระดับจังหวัดพัทลุง งวดที่ 2
</t>
    </r>
    <r>
      <rPr>
        <b/>
        <sz val="13"/>
        <color indexed="10"/>
        <rFont val="Angsana New"/>
        <family val="1"/>
      </rPr>
      <t>งบประมาณทั้งสิ้น 3,066,837 บาท</t>
    </r>
    <r>
      <rPr>
        <sz val="13"/>
        <color indexed="8"/>
        <rFont val="Angsana New"/>
        <family val="1"/>
      </rPr>
      <t xml:space="preserve"> </t>
    </r>
  </si>
  <si>
    <r>
      <t xml:space="preserve">ตามสัญญาเลขที่ A13F640040 ของ สัญญา
ให้ทุนโครงการ การจัดการเชิงพื้นที่ด้วย
นวัตกรรมเพื่อเพิ่มประสิทธิภาพการผลิตและ
ยกระดับผลิตภัณฑ์ปลาสามน้ำในเขตพื้นที่
ลุ่มทะเลสาบสงขลา งวดที่ 3
</t>
    </r>
    <r>
      <rPr>
        <b/>
        <sz val="13"/>
        <color indexed="10"/>
        <rFont val="Angsana New"/>
        <family val="1"/>
      </rPr>
      <t xml:space="preserve">งบประมาณทั้งสิ้น 4,828,000 บาท </t>
    </r>
    <r>
      <rPr>
        <sz val="13"/>
        <color indexed="8"/>
        <rFont val="Angsana New"/>
        <family val="1"/>
      </rPr>
      <t xml:space="preserve"> 
</t>
    </r>
    <r>
      <rPr>
        <b/>
        <sz val="13"/>
        <color indexed="10"/>
        <rFont val="Angsana New"/>
        <family val="1"/>
      </rPr>
      <t>หมายเหตุ : งวดที่ 1 = 2,385,900 บาท ไม่ได้นำส่งมหาวิทยาลัย และในงวดที่ 3
ได้หักเงินเหลือจากงวดที่ 1-2 เป็นเงิน
3,762.61 บาท ก่อนโอนงวดที่ 3</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</si>
  <si>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1
</t>
    </r>
    <r>
      <rPr>
        <b/>
        <sz val="13"/>
        <color indexed="10"/>
        <rFont val="Angsana New"/>
        <family val="1"/>
      </rPr>
      <t>งบประมาณทั้งสิ้น 21,000,000 บาท</t>
    </r>
    <r>
      <rPr>
        <sz val="13"/>
        <color indexed="8"/>
        <rFont val="Angsana New"/>
        <family val="1"/>
      </rPr>
      <t xml:space="preserve"> </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</si>
  <si>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2
</t>
    </r>
    <r>
      <rPr>
        <b/>
        <sz val="13"/>
        <color indexed="10"/>
        <rFont val="Angsana New"/>
        <family val="1"/>
      </rPr>
      <t>วงเงินทั้งสิ้น 559,130 บาท</t>
    </r>
    <r>
      <rPr>
        <b/>
        <sz val="13"/>
        <color indexed="8"/>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</si>
  <si>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1
</t>
    </r>
    <r>
      <rPr>
        <b/>
        <sz val="13"/>
        <color indexed="10"/>
        <rFont val="Angsana New"/>
        <family val="1"/>
      </rPr>
      <t>วงเงินงบประมาณย่อย 1,000,000 บาท</t>
    </r>
  </si>
  <si>
    <r>
      <t xml:space="preserve">ตามสัญญาเลขที่ C10F640150 โครงการ
การพัฒนาการเชื่อมโยงการท่องเที่ยวอุทยาน
ธรณีโลกสตูลกับอุทยานธรณีโลกลังกาวี 
ภายใต้แผนงาน การขับเคลื่อนเศรษฐกิจ
ชีวภาพ-เศรษฐกิจหมุนเวียน-เศรษฐกิจสีเขียว 
โครงการย่อยที่ 2 การส่งเสริมการท่องเที่ยว
ตามขีดความสามารถในการรองรับได้ในพื้นที่
อุทยานธรณีโลกสตูล งวดที่ 3
</t>
    </r>
    <r>
      <rPr>
        <b/>
        <sz val="13"/>
        <color indexed="10"/>
        <rFont val="Angsana New"/>
        <family val="1"/>
      </rPr>
      <t xml:space="preserve">วงเงินทั้งสิ้น 559,130 บาท </t>
    </r>
    <r>
      <rPr>
        <sz val="13"/>
        <rFont val="Angsana New"/>
        <family val="1"/>
      </rPr>
      <t xml:space="preserve">
</t>
    </r>
    <r>
      <rPr>
        <b/>
        <sz val="13"/>
        <color indexed="10"/>
        <rFont val="Angsana New"/>
        <family val="1"/>
      </rPr>
      <t>หมายเหตุ : งวดที่ 3 มีการปรับลดวงเงินงบประมาณเหลือเพียง 9,541.50 บ.เนื่องจากส่งงานช้ากว่ากำหนด</t>
    </r>
  </si>
  <si>
    <r>
      <t xml:space="preserve">รศ.ดร.สมพงค์ โอทอง 
</t>
    </r>
    <r>
      <rPr>
        <b/>
        <u/>
        <sz val="13"/>
        <color indexed="8"/>
        <rFont val="Angsana New"/>
        <family val="1"/>
      </rPr>
      <t>ร่วมกับ ดร.จิราวุฒิ สีเงินยวง</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</si>
  <si>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การพัฒนาเทคโนโลยีผลิตไบโอไฮเทนและกรดอะซิติก
แบบปลดปล่อยคาร์บอนไดออกไซต์เป็นศูนย์จากวัสดุเศษเหลืออุตสาหกรรมปาล์มน้ำมัน
ด้วยกระบวนการหมักไร้อากาศสองขั้นตอน
และการเปลี่ยนคาร์บอนไดออกไซด์เป็นกรด
อะซิติกด้วย Clostridium thailandense 
TISTR 2984 
</t>
    </r>
    <r>
      <rPr>
        <b/>
        <sz val="13"/>
        <color indexed="10"/>
        <rFont val="Angsana New"/>
        <family val="1"/>
      </rPr>
      <t>งบประมาณจากมหาวิทยาลัยวลัยลักษณ์ 
วงเงิน 600,000 บาท และบริษัทเอกชน 
วงเงิน 90,000 บาท</t>
    </r>
  </si>
  <si>
    <r>
      <t xml:space="preserve">รศ.ดร.สมพงค์ โอทอง 
</t>
    </r>
    <r>
      <rPr>
        <b/>
        <u/>
        <sz val="13"/>
        <color indexed="8"/>
        <rFont val="Angsana New"/>
        <family val="1"/>
      </rPr>
      <t>ร่วมกับ นางสาวชลธิชา เลี่ยมดำ</t>
    </r>
  </si>
  <si>
    <r>
      <t xml:space="preserve">ตามสัญญาเลขที่ B13F660062 สนับสนุนทุนการวิจัยให้กับมหาวิทยาลัยวลัยลักษณํ 
ภายใต้โครงการพัฒนาบุคลากรด้านการวิจัยและพัฒนาที่มีศักยภาพสูงสำหรับการยกระดับการใช้ประโยชน์จากอุตสาหกรรมปาล์มน้ำมัน
สู่ผลิตภัณฑ์มูลค่าสูง โดยมหาวิทยาลัยทักษิณเข้าร่วมภายใต้โครงการวิจัย การลดการปล่อยก๊าซเรือนกระจกในบ่อหลังการผลิตก๊าซ
ชีวภาพของโรงงานสกัดน้ำมันปาล์มด้วย
จุลลินทรีย์กลุ่มเมทาโนโทรฟ 
</t>
    </r>
    <r>
      <rPr>
        <b/>
        <sz val="13"/>
        <color indexed="10"/>
        <rFont val="Angsana New"/>
        <family val="1"/>
      </rPr>
      <t>งบประมาณจากมหาวิทยาลัยวลัยลักษณ์ 
วงเงิน 360,000 บาท และบริษัทเอกชน 
วงเงิน 40,000 บาท</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</si>
  <si>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1 
</t>
    </r>
    <r>
      <rPr>
        <b/>
        <sz val="13"/>
        <color indexed="10"/>
        <rFont val="Angsana New"/>
        <family val="1"/>
      </rPr>
      <t>งบประมาณทั้งสิ้น 2,000,000 บาท</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</si>
  <si>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1 
</t>
    </r>
    <r>
      <rPr>
        <b/>
        <sz val="13"/>
        <color indexed="10"/>
        <rFont val="Angsana New"/>
        <family val="1"/>
      </rPr>
      <t>งบประมาณทั้งสิ้น 500,000 บาท</t>
    </r>
    <r>
      <rPr>
        <sz val="13"/>
        <color indexed="8"/>
        <rFont val="Angsana New"/>
        <family val="1"/>
      </rPr>
      <t xml:space="preserve"> </t>
    </r>
  </si>
  <si>
    <t>04/09/2566</t>
  </si>
  <si>
    <t>PR2-2566:43/47</t>
  </si>
  <si>
    <t>RV00020900066090021</t>
  </si>
  <si>
    <t>นายเทพรัตน์ จันทพันธ์</t>
  </si>
  <si>
    <t>กรมส่งเสริมวัฒนธรรม</t>
  </si>
  <si>
    <r>
      <t xml:space="preserve">ตามบันทึกข้อตกลงความร่วมมือได้สนับสนุน
งบประมาณในการดำเนินโครงการศึกษา
สถานภาพโนรา : มรดกวัฒนธรรมที่จับต้อง
ไม่ได้ของมนุษยชาติ 
</t>
    </r>
    <r>
      <rPr>
        <b/>
        <sz val="13"/>
        <color indexed="10"/>
        <rFont val="Angsana New"/>
        <family val="1"/>
      </rPr>
      <t xml:space="preserve">วงเงินงบประมาณทั้งสิ้น 350,000 บาท </t>
    </r>
  </si>
  <si>
    <t>ค้างส่งค่าธรรมเนียมวิจัย หรือ
เงินอุดหนุน
สถาบัน</t>
  </si>
  <si>
    <t>13/09/2566</t>
  </si>
  <si>
    <t>PR2-2566:45/42</t>
  </si>
  <si>
    <t>RV00020900066090212</t>
  </si>
  <si>
    <t>นายบุญเลิศ จันทระ</t>
  </si>
  <si>
    <t>สำนักงานคณะกรรมการ
กำกับกิจการพลังงาน 
(กองทุนพัฒนาไฟฟ้า
โรงไฟฟ้าจะนะ จังหวัด
สงขลา)</t>
  </si>
  <si>
    <r>
      <t xml:space="preserve">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t>
    </r>
    <r>
      <rPr>
        <b/>
        <sz val="13"/>
        <color indexed="10"/>
        <rFont val="Angsana New"/>
        <family val="1"/>
      </rPr>
      <t xml:space="preserve">งบประมาณทั้งสิ้น 500,000 บาท </t>
    </r>
  </si>
  <si>
    <t>25/09/2566</t>
  </si>
  <si>
    <t>PR2-2566:49/16</t>
  </si>
  <si>
    <t>RV00020900066090468</t>
  </si>
  <si>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2 
</t>
    </r>
    <r>
      <rPr>
        <b/>
        <sz val="13"/>
        <color indexed="10"/>
        <rFont val="Angsana New"/>
        <family val="1"/>
      </rPr>
      <t>งบประมาณทั้งสิ้น 500,000 บาท</t>
    </r>
    <r>
      <rPr>
        <sz val="13"/>
        <color indexed="8"/>
        <rFont val="Angsana New"/>
        <family val="1"/>
      </rPr>
      <t xml:space="preserve"> </t>
    </r>
  </si>
  <si>
    <t>RV00020900066120353
JV00020900066120094</t>
  </si>
  <si>
    <r>
      <t>สถาบันปฏิบัติการชุมชนเพื่อการศึกษาแบบ
บูรณาการ</t>
    </r>
    <r>
      <rPr>
        <b/>
        <i/>
        <sz val="13"/>
        <color indexed="8"/>
        <rFont val="Angsana New"/>
        <family val="1"/>
      </rPr>
      <t xml:space="preserve"> </t>
    </r>
    <r>
      <rPr>
        <b/>
        <u/>
        <sz val="13"/>
        <color indexed="8"/>
        <rFont val="Angsana New"/>
        <family val="1"/>
      </rPr>
      <t>เปลี่ยนชื่อเป็น
สถาบันปฏิบัติการชุมชนและการเรียนรู้ตลอดชีวิต</t>
    </r>
  </si>
  <si>
    <r>
      <t xml:space="preserve">ตามสัญญาเลขที่ N71B650095 การวิจัยเรื่อง 
ชุมชนต้นแบบนวัตกรรมผลิตผักอินทรีย์ระบบ
โรงเรือนต้นทุนต่ำของเครือข่ายกลุ่มวิสาหกิจ
ชุมชนเกษตรอินทรีย์บ้านทุ่งยาวพัฒนา อำเภอ
เขาชัยสน จังหวัดพัทลุง เพื่อความมั่นคงทาง
อาหารตามแนวหลักปรัชญาของเศรษฐกิจ
พอเพียง  (ระยะเวลา 31 มกราคม 2565 - 
30 มกราคม 2566) 
</t>
    </r>
    <r>
      <rPr>
        <b/>
        <sz val="13"/>
        <color indexed="10"/>
        <rFont val="Angsana New"/>
        <family val="1"/>
      </rPr>
      <t xml:space="preserve">งบประมาณทั้งสิ้น 500,000 บาท </t>
    </r>
  </si>
  <si>
    <r>
      <t xml:space="preserve">ตามสัญญาเลขที่ A13F660175 สัญญาให้ทุน
โครงการ ทะเลสาบสงขลานิเวศแห่งการเรียนรู้
สู่เมืองมรดกโลก งวดที่ 1 
</t>
    </r>
    <r>
      <rPr>
        <b/>
        <sz val="13"/>
        <color indexed="10"/>
        <rFont val="Angsana New"/>
        <family val="1"/>
      </rPr>
      <t>งบประมาณทั้งสิ้น 500,000 บาท</t>
    </r>
    <r>
      <rPr>
        <sz val="13"/>
        <color indexed="8"/>
        <rFont val="Angsana New"/>
        <family val="1"/>
      </rPr>
      <t xml:space="preserve"> </t>
    </r>
  </si>
  <si>
    <t>สำนักส่งเสริมบริการวิชาการและภูมิปัญญาชุมชน</t>
  </si>
  <si>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indexed="8"/>
        <rFont val="Angsana New"/>
        <family val="1"/>
      </rPr>
      <t>โครงการย่อยที่ 6</t>
    </r>
    <r>
      <rPr>
        <sz val="13"/>
        <color indexed="8"/>
        <rFont val="Angsana New"/>
        <family val="1"/>
      </rPr>
      <t xml:space="preserve"> แพลนต์เบสฟู๊ดปันสุข 
กงหรา งวดที่ 1
</t>
    </r>
    <r>
      <rPr>
        <b/>
        <sz val="13"/>
        <color indexed="10"/>
        <rFont val="Angsana New"/>
        <family val="1"/>
      </rPr>
      <t>วงเงินงบประมาณย่อย  1,000,000 บาท</t>
    </r>
  </si>
  <si>
    <t>คณะวิทยาศาสตร์และนวัตกรรมดิจิทัล</t>
  </si>
  <si>
    <t>18/10/2566</t>
  </si>
  <si>
    <t>PR2-2567:1/29</t>
  </si>
  <si>
    <t>RV00021000067100059</t>
  </si>
  <si>
    <t>17/10/2566</t>
  </si>
  <si>
    <t>PR2-2567:1/25</t>
  </si>
  <si>
    <t>RV00021000067100050</t>
  </si>
  <si>
    <t>PR2-2567:1/26</t>
  </si>
  <si>
    <t>RV00021000067100049</t>
  </si>
  <si>
    <t>20/10/2566</t>
  </si>
  <si>
    <t>PR2-2567:1/40</t>
  </si>
  <si>
    <t>RV00021000067100075</t>
  </si>
  <si>
    <t>อาจารย์ปริยากรณ์ ชูแก้ว</t>
  </si>
  <si>
    <t>19/10/2566</t>
  </si>
  <si>
    <t>PR2-2567:1/30</t>
  </si>
  <si>
    <t>RV00021000067100060</t>
  </si>
  <si>
    <t>PR2-2567:1/28</t>
  </si>
  <si>
    <t>RV00021000067100058</t>
  </si>
  <si>
    <t>PR2-2567:1/35</t>
  </si>
  <si>
    <t>RV00021000067100070</t>
  </si>
  <si>
    <t>RV00021000067100076</t>
  </si>
  <si>
    <t>31/10/2566</t>
  </si>
  <si>
    <t>PL2-2567:1/22</t>
  </si>
  <si>
    <t>RV00021000067100176</t>
  </si>
  <si>
    <t>องค์กรปกครองส่วนท้องถิ่น
จำนวน 11 หน่วยงาน</t>
  </si>
  <si>
    <t>PR2-2567:1/24</t>
  </si>
  <si>
    <t>RV00021000067100051</t>
  </si>
  <si>
    <t xml:space="preserve">มหาวิทยาลัยสงขลานครินทร์ </t>
  </si>
  <si>
    <t>PR2-2567:3/19</t>
  </si>
  <si>
    <t>RV00021000067100179</t>
  </si>
  <si>
    <t>สำหรับเงินสนับสนุนค่าธรรมเนียมอุดหนุน
สถาบัน  สำหรับโครงการที่ 2 การประเมินประสิทธิภาพและความปลอดภัยของ
ผลิตภัณฑ์สมุนไพรพืชกระท่อมเพื่อสุขภาพ 
งวดที่ 3 (เงินสนับสนุนจากโครงการวิจัย
จากหน่วยบริหารจัดการทุนด้านการเพิ่มความสามารถในการแข่งขันของประเทศ และสำนักงานการวิจัยแห่งชาติ)</t>
  </si>
  <si>
    <t>PL2-2567:1/20</t>
  </si>
  <si>
    <t>RV00021000067100178</t>
  </si>
  <si>
    <t>สถาบันส่งเสริมการบริการวิชาการ</t>
  </si>
  <si>
    <t>02/11/2566</t>
  </si>
  <si>
    <t>PR2-2567:3/36</t>
  </si>
  <si>
    <t>RV00021000067110014</t>
  </si>
  <si>
    <t>06/11/2566</t>
  </si>
  <si>
    <t>PR2-2567:3/47</t>
  </si>
  <si>
    <t>RV00021000067110046</t>
  </si>
  <si>
    <t>องค์การบริหารส่วนจังหวัดสงขลา</t>
  </si>
  <si>
    <t>08/11/2566</t>
  </si>
  <si>
    <t>PR2-2567:4/4</t>
  </si>
  <si>
    <t>RV00021000067110065</t>
  </si>
  <si>
    <t>13/11/2566</t>
  </si>
  <si>
    <t>PR2-2567:5/8</t>
  </si>
  <si>
    <t>RV00021000067110123</t>
  </si>
  <si>
    <t>16/11/2566</t>
  </si>
  <si>
    <t>PL2-2567:1/43</t>
  </si>
  <si>
    <t>RV00021000067110149</t>
  </si>
  <si>
    <t>21/11/2566</t>
  </si>
  <si>
    <t>PR2-2567:6/8</t>
  </si>
  <si>
    <t>RV00021000067110206</t>
  </si>
  <si>
    <t>23/11/2566</t>
  </si>
  <si>
    <t>PL2-2567:2/6</t>
  </si>
  <si>
    <t>RV00021000067110232</t>
  </si>
  <si>
    <t>17/11/2566</t>
  </si>
  <si>
    <t>PR2-2567:5/35</t>
  </si>
  <si>
    <t>RV00021000067110173</t>
  </si>
  <si>
    <t>PR2-2567:5/7</t>
  </si>
  <si>
    <t>RV00021000067110122</t>
  </si>
  <si>
    <t xml:space="preserve"> มหาวิทยาลัยทักษิณ</t>
  </si>
  <si>
    <t>รายงานรายได้เพื่อการวิจัยจากแหล่งทุนภายนอก - สรุปรายรับ(100%) จำแนกรายเดือน</t>
  </si>
  <si>
    <t>ที่</t>
  </si>
  <si>
    <t>จำนวนเงินรับ  (100%)</t>
  </si>
  <si>
    <t>ต.ค.66</t>
  </si>
  <si>
    <t>พ.ย.66</t>
  </si>
  <si>
    <t>ธ.ค.66</t>
  </si>
  <si>
    <t>ม.ค.67</t>
  </si>
  <si>
    <t>ก.พ.67</t>
  </si>
  <si>
    <t>มี.ค.67</t>
  </si>
  <si>
    <t>เม.ย.67</t>
  </si>
  <si>
    <t>พ.ค.67</t>
  </si>
  <si>
    <t>มิ.ย.67</t>
  </si>
  <si>
    <t>ก.ค.67</t>
  </si>
  <si>
    <t>ส.ค.67</t>
  </si>
  <si>
    <t>ก.ย.67</t>
  </si>
  <si>
    <t>04/12/2566</t>
  </si>
  <si>
    <t>PR2-2567:7/6</t>
  </si>
  <si>
    <t>RV00021000067120012</t>
  </si>
  <si>
    <t>อาจารย์บงกช ดารารัตน์</t>
  </si>
  <si>
    <t>18/12/2566</t>
  </si>
  <si>
    <t>PR2-2567:8/15</t>
  </si>
  <si>
    <t>RV00021000067120168</t>
  </si>
  <si>
    <t>19/12/2566</t>
  </si>
  <si>
    <t>PR2-2567:9/27</t>
  </si>
  <si>
    <t>RV00021000067120192</t>
  </si>
  <si>
    <t>22/12/2566</t>
  </si>
  <si>
    <t>PL2-2567:2/33</t>
  </si>
  <si>
    <t>RV00021000067120249</t>
  </si>
  <si>
    <t>26/12/2566</t>
  </si>
  <si>
    <t>PL2-2567:2/38</t>
  </si>
  <si>
    <t>RV00021000067120280</t>
  </si>
  <si>
    <t xml:space="preserve">ทุนอุดหนุนดำเนินการวิจัยแผนงานวิจัย เรื่อง 
การสำรวจความพึงพอใจของผู้รับบริการ
สำหรับการประเมินประสิทธิภาพและ
ประสิทธิผลการปฏิบัติราชการขององค์กร
ปกครองส่วนท้องถิ่น ประจำปีงบประมาณ 
พ.ศ. 2566 </t>
  </si>
  <si>
    <t>08/01/2567</t>
  </si>
  <si>
    <t>PR2-2567:12/10</t>
  </si>
  <si>
    <t>RV00021000067010087</t>
  </si>
  <si>
    <t>05/01/2567</t>
  </si>
  <si>
    <t>PR2-2567:11/36</t>
  </si>
  <si>
    <t>RV00021000067010053</t>
  </si>
  <si>
    <t>ผศ.ดร.จิดาภา พรยิ่ง</t>
  </si>
  <si>
    <t>กองทุนและส่งเสริม
ความเสมอภาคคนพิการ</t>
  </si>
  <si>
    <t>16/01/2567</t>
  </si>
  <si>
    <t>PR2-2567:13/9</t>
  </si>
  <si>
    <t>RV00021000067010194</t>
  </si>
  <si>
    <t>31/01/2567</t>
  </si>
  <si>
    <t>RV00021000067010392</t>
  </si>
  <si>
    <t>10/01/2567</t>
  </si>
  <si>
    <t>PR2-2567:13/8</t>
  </si>
  <si>
    <t>RV00021000067010196</t>
  </si>
  <si>
    <t>PR2-2567:12/43</t>
  </si>
  <si>
    <t>RV00021000067010138</t>
  </si>
  <si>
    <t>PR2-2567:12/42</t>
  </si>
  <si>
    <t>RV00021000067010139</t>
  </si>
  <si>
    <t>PR2-2567:13/7</t>
  </si>
  <si>
    <t>RV00021000067010195</t>
  </si>
  <si>
    <t>PR2-2567:1/41</t>
  </si>
  <si>
    <t>17/01/2567</t>
  </si>
  <si>
    <t>PL2-2567:3/4</t>
  </si>
  <si>
    <t>RV00021000067010212</t>
  </si>
  <si>
    <t>สถาบันวิจัยและนวัตกรรม</t>
  </si>
  <si>
    <t>อุทยานวิทยาศาสตร์และนวัตกรรมสังคม</t>
  </si>
  <si>
    <t>27/02/2567</t>
  </si>
  <si>
    <t>PR2-2567:17/41</t>
  </si>
  <si>
    <t>RV00021000067020259</t>
  </si>
  <si>
    <t>13/02/2567</t>
  </si>
  <si>
    <t>PR2-2567:17/1</t>
  </si>
  <si>
    <t>RV00021000067020139</t>
  </si>
  <si>
    <t>28/02/2567</t>
  </si>
  <si>
    <t>PR2-2567:17/49</t>
  </si>
  <si>
    <t>RV00021000067020274</t>
  </si>
  <si>
    <t xml:space="preserve">บริษัท DSM SINGAPORE INDSTRIAL PTE. LTD. </t>
  </si>
  <si>
    <t>16/02/2567</t>
  </si>
  <si>
    <t>PR2-2567:17/20</t>
  </si>
  <si>
    <t>RV00021000067020171</t>
  </si>
  <si>
    <t>PR2-2567:17/2</t>
  </si>
  <si>
    <t>RV00021000067020138</t>
  </si>
  <si>
    <t>01/02/2567</t>
  </si>
  <si>
    <t>PR2-2567:15/6</t>
  </si>
  <si>
    <t>RV00021000067020006</t>
  </si>
  <si>
    <t>PR2-2567:15/7 และ PR2-2567:15/8</t>
  </si>
  <si>
    <t>RV00021000067020007</t>
  </si>
  <si>
    <t>PR2-2567:17/19</t>
  </si>
  <si>
    <t>RV00021000067020166</t>
  </si>
  <si>
    <t>ผศ.ดร.นุกูล อินทระสังขา</t>
  </si>
  <si>
    <t>หักใน
งวดที่ 3</t>
  </si>
  <si>
    <t>28/03/2567</t>
  </si>
  <si>
    <t>PR2-2567:21/30</t>
  </si>
  <si>
    <t>RV00021000067030268</t>
  </si>
  <si>
    <t>ผศ.เอกราช สุวรรณรัตน์</t>
  </si>
  <si>
    <t>21/03/2567</t>
  </si>
  <si>
    <t>PR2-2567:20/39</t>
  </si>
  <si>
    <t>RV00021000067030186</t>
  </si>
  <si>
    <t>สำนักงานปลัดกระทรวง
การอุดมศึกษา 
วิทยาศาสตร์ วิจัยและนวัตกรรม</t>
  </si>
  <si>
    <t>PR2-2567:21/27</t>
  </si>
  <si>
    <t>RV00021000067030269</t>
  </si>
  <si>
    <t>อาจารย์ ดร.วราภรณ์ ทะนงศักดิ์</t>
  </si>
  <si>
    <t>29/03/2567</t>
  </si>
  <si>
    <t>PR2-2567:21/39</t>
  </si>
  <si>
    <t>RV00021000067030285</t>
  </si>
  <si>
    <t>13/03/2567</t>
  </si>
  <si>
    <t>RV00021000067030107</t>
  </si>
  <si>
    <t>PR2-2567:21/28</t>
  </si>
  <si>
    <t>RV00021000067030270</t>
  </si>
  <si>
    <t>รศ.ดร.พฤทฐิภร ศุภพล</t>
  </si>
  <si>
    <t>15/03/2567</t>
  </si>
  <si>
    <t>PR2-2567:19/44</t>
  </si>
  <si>
    <t>RV00021000067030137</t>
  </si>
  <si>
    <t>ผศ.ดร.สิงหา ประสิทธิ์พงศ์</t>
  </si>
  <si>
    <t>ศูนย์ภูมิภาคว่าด้วยสเต็ม
ศึกษาขององค์การรัฐมนตรี
ศึกษาแห่งเอชียตะวันออก
เฉียงใต้</t>
  </si>
  <si>
    <t>RV00021000067030284</t>
  </si>
  <si>
    <t>นำส่งงวดสุดท้าย</t>
  </si>
  <si>
    <r>
      <rPr>
        <b/>
        <u/>
        <sz val="12"/>
        <color indexed="8"/>
        <rFont val="Angsana New"/>
        <family val="1"/>
      </rPr>
      <t>ยกเว้น</t>
    </r>
    <r>
      <rPr>
        <b/>
        <sz val="12"/>
        <color indexed="8"/>
        <rFont val="Angsana New"/>
        <family val="1"/>
      </rPr>
      <t xml:space="preserve">
ค่าธรรมเนียม
การวิจัย</t>
    </r>
  </si>
  <si>
    <t>25/04/2567</t>
  </si>
  <si>
    <t>PR2-2567:26/45</t>
  </si>
  <si>
    <t>RV00021000067040209</t>
  </si>
  <si>
    <t>ผู้ช่วยศาสตราจารย์ อนงค์ ภิบาล</t>
  </si>
  <si>
    <t>03/04/2567</t>
  </si>
  <si>
    <t>PR2-2567:22/16</t>
  </si>
  <si>
    <t>RV00021000067040030</t>
  </si>
  <si>
    <t>10/04/2567</t>
  </si>
  <si>
    <t>PR2-2567:22/38</t>
  </si>
  <si>
    <t>RV00021000067040142</t>
  </si>
  <si>
    <t>ผศ.ดร.ธนภัทร เต็มรัตนะกุล</t>
  </si>
  <si>
    <t>PR2-2567:26/42</t>
  </si>
  <si>
    <t>RV00021000067040206</t>
  </si>
  <si>
    <t>PR2-2567:26/41 (ยกเลิก) และ
ออกใหม่แทน PR2-2567:29/48</t>
  </si>
  <si>
    <t>RV00021000067040205</t>
  </si>
  <si>
    <t>รศ.ดร.แจ่มจันทร์ เพชรศิริ</t>
  </si>
  <si>
    <t>PR2-2567:26/43</t>
  </si>
  <si>
    <t>RV00021000067040207</t>
  </si>
  <si>
    <t>PR2-2567:26/44</t>
  </si>
  <si>
    <t>RV00021000067040208</t>
  </si>
  <si>
    <t>อาจารย์ ดร.วันกุศล ชนะสิทธิ์</t>
  </si>
  <si>
    <t>26/04/2567</t>
  </si>
  <si>
    <t>PR2-2567:27/25</t>
  </si>
  <si>
    <t>RV00021000067040228</t>
  </si>
  <si>
    <t>อาจารย์ ดร.สุนทรี วรรณไพเราะ</t>
  </si>
  <si>
    <t>05/04/2567</t>
  </si>
  <si>
    <t>PL2-2567:4/19</t>
  </si>
  <si>
    <t>RV00021000067040077</t>
  </si>
  <si>
    <t>11/04/2567</t>
  </si>
  <si>
    <t>PL2-2567:4/21</t>
  </si>
  <si>
    <t>RV00021000067040143</t>
  </si>
  <si>
    <t>PR2-2567:29/43</t>
  </si>
  <si>
    <t>RV00021000067050046</t>
  </si>
  <si>
    <t>PR2-2567:29/42</t>
  </si>
  <si>
    <t>RV00021000067050047</t>
  </si>
  <si>
    <t>PR2-2567:31/16</t>
  </si>
  <si>
    <t>RV00021000067050087</t>
  </si>
  <si>
    <t>PR2-2567:31/49</t>
  </si>
  <si>
    <t>RV00021000067050143</t>
  </si>
  <si>
    <t>PR2-2567:32/5</t>
  </si>
  <si>
    <t>RV00021000067050223</t>
  </si>
  <si>
    <t xml:space="preserve">ผศ.ดร.สุภฎา คีรีรัฐนิคม </t>
  </si>
  <si>
    <t>บริษัท บีเอเอสเอฟ (ไทย) จำกัด</t>
  </si>
  <si>
    <t>PR2-2567:31/15</t>
  </si>
  <si>
    <t>RV00021000067050086</t>
  </si>
  <si>
    <t>มหาวิทยาลัย
สงขลานครินทร์ 
(เครือข่ายอุดมศึกษา
ภาคใต้ตอนล่าง)</t>
  </si>
  <si>
    <t>PR2-2567:31/18</t>
  </si>
  <si>
    <t>RV00021000067050089</t>
  </si>
  <si>
    <t>PR2-2567:31/17</t>
  </si>
  <si>
    <t>RV00021000067050088</t>
  </si>
  <si>
    <t>PL2-2567:4/48</t>
  </si>
  <si>
    <t>RV00021000067050364</t>
  </si>
  <si>
    <t>ดำเนินการภายใต้สถาบันวิจัยและนวัตกรรม</t>
  </si>
  <si>
    <t>PR2-2567:14/46
 และ 
PR2-2567:14/47</t>
  </si>
  <si>
    <t>PR2-2567:34/44</t>
  </si>
  <si>
    <t>RV00021000067060031</t>
  </si>
  <si>
    <t>PR2-2567:36/26</t>
  </si>
  <si>
    <t>RV00021000067060273</t>
  </si>
  <si>
    <t>นางสาวอุษณา โกเอี้ยน 
นักศึกษาระดับปริญญาโท โดยมี ผู้ช่วยศาสตราจารย์ ตั้ม บุญรอด 
เป็นอาจารย์ที่ปรึกษา</t>
  </si>
  <si>
    <t>PR2-2567:34/3</t>
  </si>
  <si>
    <t>RV00021000067060005</t>
  </si>
  <si>
    <t>PR2-2567:34/5</t>
  </si>
  <si>
    <t>RV00021000067060007</t>
  </si>
  <si>
    <t>ผศ.ดร.มณฑล เลิศวรปรีชา</t>
  </si>
  <si>
    <t>บริษัท เค.เอ็ม.พี.ไบโอเทค 
จำกัด</t>
  </si>
  <si>
    <t>PR2-2567:36/25</t>
  </si>
  <si>
    <t>RV00021000067060216</t>
  </si>
  <si>
    <t>PR2-2567:36/28</t>
  </si>
  <si>
    <t>RV00021000067060219</t>
  </si>
  <si>
    <t>PR2-2567:34/4</t>
  </si>
  <si>
    <t>RV00021000067060006</t>
  </si>
  <si>
    <t>PR2-2567:36/27</t>
  </si>
  <si>
    <t>RV00021000067060218</t>
  </si>
  <si>
    <t>อาจารย์ อรศิริ ลีลายุทธชัย</t>
  </si>
  <si>
    <t>PR2-2567:34/8</t>
  </si>
  <si>
    <t>RV00021000067060008</t>
  </si>
  <si>
    <t>PR2-2567:34/7</t>
  </si>
  <si>
    <t>RV00021000067060009</t>
  </si>
  <si>
    <t>01/07/2567</t>
  </si>
  <si>
    <t>PR2-2567:37/41</t>
  </si>
  <si>
    <t>RV00021000067070013</t>
  </si>
  <si>
    <t>18/07/2567</t>
  </si>
  <si>
    <t>PR2-2567:40/5</t>
  </si>
  <si>
    <t>RV00021000067070320</t>
  </si>
  <si>
    <t>15/07/2567</t>
  </si>
  <si>
    <t>PR2-2567:39/26</t>
  </si>
  <si>
    <t>RV00021000067070247</t>
  </si>
  <si>
    <t>08/07/2567</t>
  </si>
  <si>
    <t>PR2-2567:38/27</t>
  </si>
  <si>
    <t>RV00021000067070153</t>
  </si>
  <si>
    <t>30/07/2567</t>
  </si>
  <si>
    <t>PR2-2567:40/47</t>
  </si>
  <si>
    <t>RV00021000067070435</t>
  </si>
  <si>
    <r>
      <t xml:space="preserve">ตามสัญญที่ N24B650299 สัญญารับทุน
อุดหนุนการทำกิจกรรมส่งเสริมและสนับสนุน
การวิจัยและนวัตกรรม เรื่อง การพัฒนาระบบ
การผลิตไก่คอล่อนสำหรับเกษตรกรใน
อำเภอควนขนุน จังหวัดพัทลุง งวดที่ 4
</t>
    </r>
    <r>
      <rPr>
        <b/>
        <sz val="13"/>
        <color rgb="FFFF0000"/>
        <rFont val="Angsana New"/>
        <family val="1"/>
      </rPr>
      <t xml:space="preserve">วงเงินทั้งสิ้น 400,000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</si>
  <si>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3</t>
    </r>
    <r>
      <rPr>
        <sz val="13"/>
        <color theme="1"/>
        <rFont val="Angsana New"/>
        <family val="1"/>
      </rPr>
      <t xml:space="preserve"> แพะหวะแก้จน 
จังหวัดพัทลุงโมเดล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</si>
  <si>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4</t>
    </r>
    <r>
      <rPr>
        <sz val="13"/>
        <color theme="1"/>
        <rFont val="Angsana New"/>
        <family val="1"/>
      </rPr>
      <t xml:space="preserve"> วิชชายุทธเกษตรสู้จน 
คนศรีนครินทร์ งวดที่ 2 
</t>
    </r>
    <r>
      <rPr>
        <b/>
        <sz val="13"/>
        <color rgb="FFFF0000"/>
        <rFont val="Angsana New"/>
        <family val="1"/>
      </rPr>
      <t>วงเงินงบประมาณย่อย 1,100,000 บาท</t>
    </r>
  </si>
  <si>
    <t>06/08/2567</t>
  </si>
  <si>
    <t>PR2-2567:41/32</t>
  </si>
  <si>
    <t>RV00021000067080065</t>
  </si>
  <si>
    <t>กลุ่มวิสาหกิจชุมชน
ชาวนาพัทลุง</t>
  </si>
  <si>
    <r>
      <t xml:space="preserve">ตามข้อตกการสนับสนุนทุนจากงบประมาณ
เงินรายได้ กองทุนวิจัยมหาวิทยาลัยทักษิณ 
ประจำปีงบประมาณ 2567 เลขที่ 
TSU67-ECO002 ตามสัญญาระบุการร่วม
ทุนวิจัย ภายใต้โครงการวิจัย เรื่อง การกระตุ้นการงอกของเมล็ดพันธุ์ข้าวอินทรีย์ด้วยโอโซน
ในกระบวนการผลิตข้าวกล้องงอก 
</t>
    </r>
    <r>
      <rPr>
        <b/>
        <sz val="13"/>
        <color rgb="FFFF0000"/>
        <rFont val="Angsana New"/>
        <family val="1"/>
      </rPr>
      <t>งบประมาณทั้งสิ้น 90,000 บาท 
สนับสนุนโดยผู้ร่วมทุน 9,000 บาท</t>
    </r>
  </si>
  <si>
    <t>PR2-2567:41/34</t>
  </si>
  <si>
    <t>RV00021000067080067</t>
  </si>
  <si>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3</t>
    </r>
    <r>
      <rPr>
        <sz val="13"/>
        <color theme="1"/>
        <rFont val="Angsana New"/>
        <family val="1"/>
      </rPr>
      <t xml:space="preserve"> การเลี้ยงแพะหวะแก้จน 
จังหวัดพัทลุง งวดที่ 3
</t>
    </r>
    <r>
      <rPr>
        <b/>
        <sz val="13"/>
        <color rgb="FFFF0000"/>
        <rFont val="Angsana New"/>
        <family val="1"/>
      </rPr>
      <t xml:space="preserve">งบประมาณทั้งสิ้น 1,530,000 บาท </t>
    </r>
  </si>
  <si>
    <r>
      <t xml:space="preserve">ตามสัญญาเลขที่ N73A670993 สัญญา
ให้ทุนอุดหนุนการวิจัยและนวัตกรรม ภายใต้
งานวิจัยเรื่อง การบริหารจัดการและการ
พัฒนาผลิตภัณฑ์ชุมชน อำเภอนาหม่อม 
จังหวัดสงขลา งวดที่ 1
</t>
    </r>
    <r>
      <rPr>
        <b/>
        <sz val="13"/>
        <color rgb="FFFF0000"/>
        <rFont val="Angsana New"/>
        <family val="1"/>
      </rPr>
      <t>วงเงินงบประมาณทั่งสิ้น 400,000 บาท</t>
    </r>
  </si>
  <si>
    <r>
      <t xml:space="preserve">ตามสัญญาเลขที่ A11F660039 สัญญาให้ทุนโครงการ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3</t>
    </r>
    <r>
      <rPr>
        <sz val="13"/>
        <color theme="1"/>
        <rFont val="Angsana New"/>
        <family val="1"/>
      </rPr>
      <t xml:space="preserve"> การพัฒนาช่องทางการตลาดผลิตภัณฑ์ปลาดุกร้าในพื้นที่รอบ
ลุ่มน้ำทะเลสาบสงขลา งวดที่ 2
</t>
    </r>
    <r>
      <rPr>
        <b/>
        <sz val="13"/>
        <color rgb="FFFF0000"/>
        <rFont val="Angsana New"/>
        <family val="1"/>
      </rPr>
      <t xml:space="preserve">วงเงินงบประมาณย่อย 466,950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</si>
  <si>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2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</si>
  <si>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3
</t>
    </r>
    <r>
      <rPr>
        <b/>
        <sz val="13"/>
        <color rgb="FFFF0000"/>
        <rFont val="Angsana New"/>
        <family val="1"/>
      </rPr>
      <t xml:space="preserve">งบประมาณทั้งสิ้น 400,000 บาท </t>
    </r>
  </si>
  <si>
    <r>
      <t xml:space="preserve">ตามสัญญารับทุนอุดหนุนการวิจัยและ
นวัตกรรม เรื่อง การพัฒนาศักยภาพการประกอบการของวิสาหกิจชุมชนกลุ่มอาชีพ
ทอผ้าบ้านล่องมุด จังหวัดสงขลา งวดที่ 4
</t>
    </r>
    <r>
      <rPr>
        <b/>
        <sz val="13"/>
        <color rgb="FFFF0000"/>
        <rFont val="Angsana New"/>
        <family val="1"/>
      </rPr>
      <t xml:space="preserve">งบประมาณทั้งสิ้น 400,000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</si>
  <si>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2 
</t>
    </r>
    <r>
      <rPr>
        <b/>
        <sz val="13"/>
        <color rgb="FFFF0000"/>
        <rFont val="Angsana New"/>
        <family val="1"/>
      </rPr>
      <t xml:space="preserve">งบประมาณทั้งสิ้น 1,290,000 บาท </t>
    </r>
  </si>
  <si>
    <r>
      <t xml:space="preserve">เงินค่าธรรมเนียมอุดหนุนสถาบัน ตามระเบียบคณะกรรมการการเงินและทรัพย์สิน ว่าด้วย
การบริหารจัดการทุนอุดหนุนการวิจัยจาก
แหล่งทุนภายนอก พ.ศ.2565 สำหรับทุนวิจัย
เรื่อง ถอดบทเรียนแนวทางการแก้ไขปัญหา
เรื่องที่อยู่อาศัยและพื้นที่ทำกินของชาว
เลอูรักลาโว้ยเพื่อลดปัญหาความเหลื่อมล้ำ
ในการดำเนินชีวิตของชาวเล พื้นที่ปฏิบัติการชุมชนบ้านโต๊ะบาหลิว อำเภอเกาลันตาใหญ่ จังหวัดกระบี่ (ตามสัญญาข้อตกลงเลขที่ 65-00-1357-01 เริ่มตั้งแต่วันที่ 15 พ.ย. 65
ถึง 31 ก.ค. 66) 
</t>
    </r>
    <r>
      <rPr>
        <b/>
        <sz val="13"/>
        <color rgb="FFFF0000"/>
        <rFont val="Angsana New"/>
        <family val="1"/>
      </rPr>
      <t>งบประมาณทั้งสิ้น 174,645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</si>
  <si>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1
</t>
    </r>
    <r>
      <rPr>
        <b/>
        <sz val="13"/>
        <color rgb="FFFF0000"/>
        <rFont val="Angsana New"/>
        <family val="1"/>
      </rPr>
      <t>วงเงินตามสัญญา 508,725 บาท</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</si>
  <si>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3 
</t>
    </r>
    <r>
      <rPr>
        <b/>
        <sz val="13"/>
        <color rgb="FFFF0000"/>
        <rFont val="Angsana New"/>
        <family val="1"/>
      </rPr>
      <t xml:space="preserve">งบประมาณทั้งสิ้น 1,290,000 บาท </t>
    </r>
  </si>
  <si>
    <r>
      <t xml:space="preserve">ตามสัญญาเลขที่ 148/2566 ว่าจ้างปรึกษาโครงการประเมินความเชื่อมั่นของประชาชน
ในพื้นที่จังหวัดชายแดนภาคใต้ที่มีต่อการ
อำนวยความยุติธรรมของกระทรวงยุติธรรม 
และแผนงานอำนวยความยุติธรรมและเยียวยา
ผู้ได้รับผลกระทบ ประจำปีงบประมาณ 
พ.ศ.2566 งวดที่ 4 และเงินประกันผลงาน
งวดที่ 1 - 4 
</t>
    </r>
    <r>
      <rPr>
        <b/>
        <sz val="13"/>
        <color rgb="FFFF0000"/>
        <rFont val="Angsana New"/>
        <family val="1"/>
      </rPr>
      <t xml:space="preserve">งบประมาณทั้งสิ้น 1,290,000 บาท </t>
    </r>
  </si>
  <si>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</si>
  <si>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2
</t>
    </r>
    <r>
      <rPr>
        <b/>
        <sz val="13"/>
        <color rgb="FFFF0000"/>
        <rFont val="Angsana New"/>
        <family val="1"/>
      </rPr>
      <t>วงเงินตามสัญญา 508,725 บาท</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</si>
  <si>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2
</t>
    </r>
    <r>
      <rPr>
        <b/>
        <sz val="13"/>
        <color rgb="FFFF0000"/>
        <rFont val="Angsana New"/>
        <family val="1"/>
      </rPr>
      <t xml:space="preserve">งบประมาณทั้งสิ้น 600,000 บาท </t>
    </r>
  </si>
  <si>
    <r>
      <t xml:space="preserve">ตามสัญญาเลขที่ N71A670028 สัญญาให้
ทุนอุดหนุนการวิจัยและนวัตกรรม ภายใต้
งานวิจัยเรื่อง การจัดการความรู้และการ
ถ่ายทอดเทคโนโลยีแอปพลิเคชันการส่งเสริม
สุขภาพมารดาทารกในวิถีมุสลิมในสาม
จังหวัดชายแดนใต้เพื่อสร้างความเข้มแข็ง
ของชุมชน งวดที่ 1
</t>
    </r>
    <r>
      <rPr>
        <b/>
        <sz val="13"/>
        <color rgb="FFFF0000"/>
        <rFont val="Angsana New"/>
        <family val="1"/>
      </rPr>
      <t xml:space="preserve">งบประมาณทั้งสิ้น 500,000 บาท </t>
    </r>
  </si>
  <si>
    <r>
      <t xml:space="preserve">ตามสัญญารับทุนอุดหนุนการวิจัยและ
นวัตกรรม เรื่อง การจัดการความรู้และการ
ถ่ายทอดเทคโนโลยีแอปพลิเคชันการป้องกัน
ภาวะซึมเศร้าของผู้สูงอายุโดยใช้หลักมิติจิต
วิญญาณตามวิถีมุสลิมสำหรับอาสาสมัคร
สาธารณสุขประจำหมู่บ้าน ในบริบทสาม
จังหวัดชายแดนใต้ เพื่อความั่นคงของมนุษย์
อย่างยั่งยื่น งวดที่ 3
</t>
    </r>
    <r>
      <rPr>
        <b/>
        <sz val="13"/>
        <color rgb="FFFF0000"/>
        <rFont val="Angsana New"/>
        <family val="1"/>
      </rPr>
      <t xml:space="preserve">งบประมาณทั้งสิ้น 600,000 บาท </t>
    </r>
  </si>
  <si>
    <r>
      <t xml:space="preserve">ตามสัญญาจ้างผู้เชี่ยวชาญรายบุคคลหรือ
จ้างที่บริษัทที่ปรึกษา เลขที่ กจ004/2567
ได้ว่าจ้างที่ปรึกษาปฏิบัติงานตามโครงการ
สำรวจความพึงพอใจของผู้รับบริการที่มีต่อ
การให้บริการสาธารณะขององค์การบริหาร
ส่วนจังหวัดภูเก็ต ประจำปีงบประมาณ 
พ.ศ.2567 งวดที่ 1
</t>
    </r>
    <r>
      <rPr>
        <b/>
        <sz val="13"/>
        <color rgb="FFFF0000"/>
        <rFont val="Angsana New"/>
        <family val="1"/>
      </rPr>
      <t>วงเงินตามสัญญา 100,000 บาท</t>
    </r>
  </si>
  <si>
    <r>
      <t xml:space="preserve">ตามสัญญาเลขที่ N71B650089 ระยะเวลา 
12 เดือน โดยเริ่มตั้งแต่วันที่ 31 ม.ค.65 ถึง
30 ม.ค.66 สำหรับเงินค่าธรรมเนียมอุดหนุน
สถาบันของทุนสนับสนุนจาก เรื่อง การพัฒนา
ทักษะอาชีพการทอผ้าพื่นเมืองสำหรับกลุ่ม
สามเณรไร้ที่พึ่งพิง โรงเรียนพระปริยัติธรรม 
วัดโคกเปี้ยว ตำบลเกาะยอ อำเภอเมือง 
จังหวัดสงขลา 
</t>
    </r>
    <r>
      <rPr>
        <b/>
        <sz val="13"/>
        <color rgb="FFFF0000"/>
        <rFont val="Angsana New"/>
        <family val="1"/>
      </rPr>
      <t xml:space="preserve">งบประมาณทั้งสิ้น 550,000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</si>
  <si>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2
</t>
    </r>
    <r>
      <rPr>
        <b/>
        <sz val="13"/>
        <color rgb="FFFF0000"/>
        <rFont val="Angsana New"/>
        <family val="1"/>
      </rPr>
      <t xml:space="preserve">งบประมาณทั้งสิ้น 800,000 บาท </t>
    </r>
  </si>
  <si>
    <r>
      <t xml:space="preserve">ตามใบสั่งจ้างเลขที่ 443/2566 ได้จ้าง
สถาบันการศึกษา ระดับอุดมศึกษา สำรวจ
ความพึงพอใจของผู้รับบริการสาธารณะของ
องค์การบริหารส่วนจังหวัดสงขลา ประจำปี 
พ.ศ.2566 (กำหนดส่งมอบงานภายในวันที่ 
11 ตุลาคม 2566) 
</t>
    </r>
    <r>
      <rPr>
        <b/>
        <sz val="13"/>
        <color rgb="FFFF0000"/>
        <rFont val="Angsana New"/>
        <family val="1"/>
      </rPr>
      <t>วงเงินทั้งสิ้น 49,000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</si>
  <si>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1</t>
    </r>
    <r>
      <rPr>
        <sz val="13"/>
        <color theme="1"/>
        <rFont val="Angsana New"/>
        <family val="1"/>
      </rPr>
      <t xml:space="preserve"> กระจูดพัทลุงโมเดล การยกระดับศักยภาพผลิตภัณฑ์กระจูดตลอดโซ่อุปทานของวิสาหกิจชุมชนเลน้อยคราฟ ขับเคลื่อนโดย BCG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</si>
  <si>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5</t>
    </r>
    <r>
      <rPr>
        <sz val="13"/>
        <color theme="1"/>
        <rFont val="Angsana New"/>
        <family val="1"/>
      </rPr>
      <t xml:space="preserve"> บางแก้วโมเดล ประมง
พื้นบ้านแก้จน งวดที่ 2 
</t>
    </r>
    <r>
      <rPr>
        <b/>
        <sz val="13"/>
        <color rgb="FFFF0000"/>
        <rFont val="Angsana New"/>
        <family val="1"/>
      </rPr>
      <t>วงเงินงบประมาณย่อย 1,100,000 บาท</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</si>
  <si>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3 
</t>
    </r>
    <r>
      <rPr>
        <b/>
        <sz val="13"/>
        <color rgb="FFFF0000"/>
        <rFont val="Angsana New"/>
        <family val="1"/>
      </rPr>
      <t xml:space="preserve">งบประมาณทั้งสิ้น 450,000 บาท </t>
    </r>
  </si>
  <si>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3
</t>
    </r>
    <r>
      <rPr>
        <b/>
        <sz val="13"/>
        <color rgb="FFFF0000"/>
        <rFont val="Angsana New"/>
        <family val="1"/>
      </rPr>
      <t xml:space="preserve">งบประมาณทั้งสิ้น 800,000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</si>
  <si>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1
</t>
    </r>
    <r>
      <rPr>
        <b/>
        <sz val="13"/>
        <color rgb="FFFF0000"/>
        <rFont val="Angsana New"/>
        <family val="1"/>
      </rPr>
      <t>งบประมาณทั้งสิ้น 940,000.00 บาท</t>
    </r>
  </si>
  <si>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1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</si>
  <si>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ภายใต้แผนงาน ตัวแบบเชิง
ธุรกิจเพื่อสร้างเศรษฐกิจฐานรากรองรับการ
เปลี่ยนแปลงและวิกฤตด้านเศรษฐกิจ 
โปรแกรม 17 แก้ปัญหาวิกฤตเร่งด่วนของ
ประเทศอื่น ๆ งวดที่ 4
</t>
    </r>
    <r>
      <rPr>
        <b/>
        <sz val="13"/>
        <color rgb="FFFF0000"/>
        <rFont val="Angsana New"/>
        <family val="1"/>
      </rPr>
      <t>งบประมาณทั้งสิ้น 3,500,000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</si>
  <si>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3 แบบ
จำลองธุรกิจแบบจับคู่ค้าของผลิตภัณฑ์กาบ
หมากแบรนด์ กาหลง สำหรับผู้บริโภคกลุ่ม
ยึดมั่นความเป็นมิตรกับสิ่งแวดล้อม งวดที่ 4 </t>
    </r>
    <r>
      <rPr>
        <b/>
        <sz val="13"/>
        <color rgb="FFFF0000"/>
        <rFont val="Angsana New"/>
        <family val="1"/>
      </rPr>
      <t>งบประมาณโครงการทั้งสิ้น 1,248,300 บ.</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</si>
  <si>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4 
</t>
    </r>
    <r>
      <rPr>
        <b/>
        <sz val="13"/>
        <color rgb="FFFF0000"/>
        <rFont val="Angsana New"/>
        <family val="1"/>
      </rPr>
      <t xml:space="preserve">งบประมาณทั้งสิ้น 450,000 บาท </t>
    </r>
  </si>
  <si>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1
</t>
    </r>
    <r>
      <rPr>
        <b/>
        <sz val="13"/>
        <color rgb="FFFF0000"/>
        <rFont val="Angsana New"/>
        <family val="1"/>
      </rPr>
      <t>งบประมาณทั้งสิ้น 465,000 บาท</t>
    </r>
  </si>
  <si>
    <r>
      <t xml:space="preserve">ตามสัญญาเลขที่ N71A670164 สัญญาให้
ทุนอุดหนุนการวิจัยและนวัตกรรม ภายใต้
งานวิจัยเรื่อง การขยายผลสวนพฤกษศาสตร์
โรงเรียนตามแนวพระราชดำริฯ สู่การพัฒนา
ครบวงจรเพื่อการพึ่งตนเองและเสริมสร้างสุข
ภาวะชุมชน งวดที่ 1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</si>
  <si>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การจัดการความรู้เพื่อลด
ความเสี่ยงและปรับตัวต่อภัยแล้งของชุมชน
เกษตรกรรม คาบสมุทรสทิงพระ 
จังหวัดสงขลา งวดที่ 5 
</t>
    </r>
    <r>
      <rPr>
        <b/>
        <sz val="13"/>
        <color rgb="FFFF0000"/>
        <rFont val="Angsana New"/>
        <family val="1"/>
      </rPr>
      <t xml:space="preserve">งบประมาณทั้งสิ้น 450,000 บาท </t>
    </r>
  </si>
  <si>
    <r>
      <t xml:space="preserve">ตามบันทึกข้อตกลงความร่วมมือ ภายใต้
โครงการใช้เทคโนโลยีและนวัตกรรมเพื่อ
การบริหารจัดการฟาร์มและสร้างความเป็น
อัตลักษณ์ให้กับผลิตภัณฑ์ปศุสัตว์ภาคใต้
ชายแดน ปีงบประมาณ พ.ศ.2567 งวดที่ 2
</t>
    </r>
    <r>
      <rPr>
        <b/>
        <sz val="13"/>
        <color rgb="FFFF0000"/>
        <rFont val="Angsana New"/>
        <family val="1"/>
      </rPr>
      <t>งบประมาณทั้งสิ้น 940,000.00 บาท</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</si>
  <si>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2</t>
    </r>
    <r>
      <rPr>
        <sz val="13"/>
        <color theme="1"/>
        <rFont val="Angsana New"/>
        <family val="1"/>
      </rPr>
      <t xml:space="preserve"> การยกระดับรายได้คนจน
อำเภอควนขนุน จังหวัดพัทลุง ด้วยโมเดล 
อำเภอกระจูดแก้จน งวดที่ 3
</t>
    </r>
    <r>
      <rPr>
        <b/>
        <sz val="13"/>
        <color rgb="FFFF0000"/>
        <rFont val="Angsana New"/>
        <family val="1"/>
      </rPr>
      <t>งบประมาณทั้งสิ้น 1,665,364 บาท</t>
    </r>
    <r>
      <rPr>
        <sz val="13"/>
        <color theme="1"/>
        <rFont val="Angsana New"/>
        <family val="1"/>
      </rPr>
      <t xml:space="preserve"> </t>
    </r>
  </si>
  <si>
    <r>
      <t xml:space="preserve">ตามสัญญาเลขที่ N41A670800 สัญญาให้
ทุนอุดหนุนการวิจัยและนวัตกรรม ภายใต้
งานวิจัยเรื่อง สมการทำนายค่าระดับน้ำตาล
สะสมในเลือดสำหรับผู้ป่วยเบาหวานที่
ควบคุมไม่ได้  งวดที่ 1
</t>
    </r>
    <r>
      <rPr>
        <b/>
        <sz val="13"/>
        <color rgb="FFFF0000"/>
        <rFont val="Angsana New"/>
        <family val="1"/>
      </rPr>
      <t>วงเงินงบประมาณทั่งสิ้น 134,000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ตามประกาศสำนักงาน
การวิจัยแห่งชาติ เรื่อง การรับข้อเสนอ
การวิจัยและนวัตกรรมทุนพัฒนานักวิจัย
ระดับบัณฑิตศึกษา ประจำปีงบประมาณ 
2567 ข้อที่ 4.2 งบสนับสนุนโครงการวิจัย 
สถาบันอุดมศึกษาต้นสังกัดของนักศึกษา
ผู้รับทุนต้องไม่หักเงินทุนจากโครงการเป็น
ค่าใข้จ่ายทางอ้อม</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</si>
  <si>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u/>
        <sz val="13"/>
        <color theme="1"/>
        <rFont val="Angsana New"/>
        <family val="1"/>
      </rPr>
      <t>โครงการย่อยที่ 1</t>
    </r>
    <r>
      <rPr>
        <sz val="13"/>
        <color theme="1"/>
        <rFont val="Angsana New"/>
        <family val="1"/>
      </rPr>
      <t xml:space="preserve"> โมเดลแก้จนสวัสดิการ
ชุมชนเกื้อกูล:คนเมืองลุงไม่ทอดทิ้งกัน งวดที่ 3
</t>
    </r>
    <r>
      <rPr>
        <b/>
        <sz val="13"/>
        <color rgb="FFFF0000"/>
        <rFont val="Angsana New"/>
        <family val="1"/>
      </rPr>
      <t>งบประมาณทั้งสิ้น 2,237,799 บาท</t>
    </r>
    <r>
      <rPr>
        <sz val="13"/>
        <color theme="1"/>
        <rFont val="Angsana New"/>
        <family val="1"/>
      </rPr>
      <t xml:space="preserve"> </t>
    </r>
  </si>
  <si>
    <r>
      <t xml:space="preserve">ตามสัญญาเลขที่ N71A670511 สัญญาให้
ทุนอุดหนุนการวิจัยและนวัตกรรม ภายใต้
งานวิจัยเรื่อง การผลิตและการเพิ่มศักยภาพ
แก๊สชีวภาพจากมูลสัตว์ของวิสาหกิจชุมชน
กลุ่มเลี้ยงโคเนื้อต้นน้ำตำบลเนินงาม งวดที่ 1
</t>
    </r>
    <r>
      <rPr>
        <b/>
        <sz val="13"/>
        <color rgb="FFFF0000"/>
        <rFont val="Angsana New"/>
        <family val="1"/>
      </rPr>
      <t xml:space="preserve">วงเงินงบประมาณทั่งสิ้น 934,500 บาท </t>
    </r>
  </si>
  <si>
    <r>
      <t xml:space="preserve">ตามสัญญาที่ N24A650528 สัญญารับทุน
อุดหนุนการทำกิจกรรมส่งเสริมและสนับสนุน
การวิจัยและนวัตกรรม เรื่อง การเพาะเลี้ยงปลา
ก้างพระร่วง (Kryptopterus Vitreolus) ใน
โรงเพาะฟัก และการพัฒนาเป็นปลาสวยงามเพื่อการส่งออก (ปีที่ 2) งวดที่ 4
</t>
    </r>
    <r>
      <rPr>
        <b/>
        <sz val="13"/>
        <color rgb="FFFF0000"/>
        <rFont val="Angsana New"/>
        <family val="1"/>
      </rPr>
      <t xml:space="preserve">วงเงินทั้งสิ้น 420,000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</si>
  <si>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1</t>
    </r>
    <r>
      <rPr>
        <sz val="13"/>
        <color theme="1"/>
        <rFont val="Angsana New"/>
        <family val="1"/>
      </rPr>
      <t xml:space="preserve"> การพัฒนานวัตกรรม
การเลี้ยงปลาดุกลูกผสมเพื่อผลิตเป็นวัตถุดิบ
สำหรับแปรรูปผลิตภัณฑ์ปลาดุกร้า งวดที่ 2
</t>
    </r>
    <r>
      <rPr>
        <b/>
        <sz val="13"/>
        <color rgb="FFFF0000"/>
        <rFont val="Angsana New"/>
        <family val="1"/>
      </rPr>
      <t>วงเงินงบประมาณย่อย 682,000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</si>
  <si>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2
</t>
    </r>
    <r>
      <rPr>
        <b/>
        <sz val="13"/>
        <color rgb="FFFF0000"/>
        <rFont val="Angsana New"/>
        <family val="1"/>
      </rPr>
      <t xml:space="preserve">งบประมาณทั้งสิ้น 580,000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</si>
  <si>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2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</si>
  <si>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ระบบผลิตไฟฟ้าไมโครกริดพลังงานหมุนเวียนแบบผสมผสานสำหรับ
เกาะสีเขียว กรณีศึกษาเกาะสมุย จังหวัด
สุราษฎร์ธานี งวดที่ 2 
</t>
    </r>
    <r>
      <rPr>
        <b/>
        <sz val="13"/>
        <color rgb="FFFF0000"/>
        <rFont val="Angsana New"/>
        <family val="1"/>
      </rPr>
      <t xml:space="preserve">งบประมาณทั้งสิ้น 250,000 บาท </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</si>
  <si>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3
</t>
    </r>
    <r>
      <rPr>
        <b/>
        <sz val="13"/>
        <color rgb="FFFF0000"/>
        <rFont val="Angsana New"/>
        <family val="1"/>
      </rPr>
      <t>งบประมาณทั้งสิ้น 400,000 บาท</t>
    </r>
    <r>
      <rPr>
        <sz val="13"/>
        <color theme="1"/>
        <rFont val="Angsana New"/>
        <family val="1"/>
      </rPr>
      <t xml:space="preserve"> </t>
    </r>
  </si>
  <si>
    <r>
      <t xml:space="preserve">ตามสัญญาเลขที่ RII-TDU 002/2566 
ว่าจ้างดำเนินการศึกษาและวิจัยเกี่ยวกับ 
ตรวจสารพันธุกรรมของเชื้อแบคทีเรียวิบริโอ
และไวรัสหัวเหลืองในตัวอย่างกุ้งขาวตัวอ่อน
และโตเต็มวัยด้วยวิธีลูกโซ่พอลิเมอร์เรส 
ภายในระยะเวลา 15 สิงหาคม 2566 - 
14 ตุลาคม 2566 งวดที่ 1 
</t>
    </r>
    <r>
      <rPr>
        <b/>
        <sz val="13"/>
        <color rgb="FFFF0000"/>
        <rFont val="Angsana New"/>
        <family val="1"/>
      </rPr>
      <t>วงเงินงบประมาณทั้งสิ้น 35,000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</si>
  <si>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งวดที่ 2 
</t>
    </r>
    <r>
      <rPr>
        <b/>
        <sz val="13"/>
        <color rgb="FFFF0000"/>
        <rFont val="Angsana New"/>
        <family val="1"/>
      </rPr>
      <t>วงเงินงบประมาณย่อย 2,700,000 บาท</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</si>
  <si>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8</t>
    </r>
    <r>
      <rPr>
        <sz val="13"/>
        <color theme="1"/>
        <rFont val="Angsana New"/>
        <family val="1"/>
      </rPr>
      <t xml:space="preserve"> โมเดลจ้างงานแก้จนคน
ป่าพะยอม การพัฒนาแอปพลิเคชันและดิจิทัล
แพลตฟอร์มเพื่อยกระดับทักษะและการ
จ้างงานแรงงานคนในจังหวัดพัทลุง งวดที่ 2
</t>
    </r>
    <r>
      <rPr>
        <b/>
        <sz val="13"/>
        <color rgb="FFFF0000"/>
        <rFont val="Angsana New"/>
        <family val="1"/>
      </rPr>
      <t>วงเงินงบประมาณย่อย 1,000,000 บาท</t>
    </r>
  </si>
  <si>
    <r>
      <t>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N42A661014 งานวิจัย
เรื่อง ความมีชีวิตของเรณูสละอินโดนีเซียและสละเนินวงศ์และผลของความมีชีวิตของเรณู
ต่อการติดผลและคุณลักษณะของผล งวดที่ 2</t>
    </r>
    <r>
      <rPr>
        <b/>
        <sz val="13"/>
        <color rgb="FFFF0000"/>
        <rFont val="Angsana New"/>
        <family val="1"/>
      </rPr>
      <t>งบประมาณทั้งสิ้น 590,400.00 บาท
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</si>
  <si>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ตามสัญญารับทุนอุดหนุนการวิจัยและ
นวัตกรรม ทุนพัฒนาศักยภาพในการทำงาน
วิจัยของอาจารย์รุ่นใหม่ประจำปีงบประมาณ 2566 : สัญญาเลขที่ N42A661015 งานวิจัย
เรื่อง ผลของการเจือ Cd2+,Ni2, and Zn2+ 
ต่อโครงสร้าง สมบัติทางไดอิเล็กทริกและ
สมบัติทางไฟฟ้าของวัสดุออกไซด์ A0.25Cu0.75TiO3 การศึกษาด้วยการทดลองและการคำนวณ งวดที่ 2
</t>
    </r>
    <r>
      <rPr>
        <b/>
        <sz val="13"/>
        <color rgb="FFFF0000"/>
        <rFont val="Angsana New"/>
        <family val="1"/>
      </rPr>
      <t>งบประมาณทั้งสิ้น 600,000.00 บาท</t>
    </r>
    <r>
      <rPr>
        <sz val="13"/>
        <color theme="1"/>
        <rFont val="Angsana New"/>
        <family val="1"/>
      </rPr>
      <t xml:space="preserve">
</t>
    </r>
    <r>
      <rPr>
        <b/>
        <sz val="13"/>
        <color rgb="FFFF0000"/>
        <rFont val="Angsana New"/>
        <family val="1"/>
      </rPr>
      <t>หมายเหตุ : ยกเว้นการเรียกเก็บเงินอุดหนุนสถาบันตามประกาศสำนักงาน
การวิจัยแห่งชาติ เรื่อง การรับข้อเสนอ
การวิจัยและนวัตกรรมทุนพัฒนาศักยภาพ
ในการทำงานวิจัยของอาจารย์รุ่นใหม่ 
ประจำปีงบประมาณ 2566 (ข้อที่ 8)</t>
    </r>
  </si>
  <si>
    <r>
      <t xml:space="preserve">ตามสัญญาจ้างผู้เชี่ยวชาญรายบุคคลหรือ
จ้างที่บริษัทที่ปรึกษา เลขที่ 00381/2566 
ได้ว่าจ้างที่ปรึกษาปฏิบัติงานตามโครงการศึกษาความเป็นไปได้ในการจัดตั้งศูนย์การจัดการขยะอันตรายจากชุมชนแบบครบวงจรจังหวัดยะลา ประจำปีงบประมาณ 2566 
งวดที่ 4
</t>
    </r>
    <r>
      <rPr>
        <b/>
        <sz val="13"/>
        <color rgb="FFFF0000"/>
        <rFont val="Angsana New"/>
        <family val="1"/>
      </rPr>
      <t>งบประมาณทั้งสิ้น 400,000 บาท</t>
    </r>
    <r>
      <rPr>
        <sz val="13"/>
        <color theme="1"/>
        <rFont val="Angsana New"/>
        <family val="1"/>
      </rPr>
      <t xml:space="preserve">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</si>
  <si>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3
</t>
    </r>
    <r>
      <rPr>
        <b/>
        <sz val="13"/>
        <color rgb="FFFF0000"/>
        <rFont val="Angsana New"/>
        <family val="1"/>
      </rPr>
      <t xml:space="preserve">งบประมาณทั้งสิ้น 580,000 บาท </t>
    </r>
  </si>
  <si>
    <r>
      <t xml:space="preserve">เงินสนับสนุนการวิจัย เรื่อง Effects of commercial enzymes supplement on 
growth performances, feed utilizations, nutrients digestibilty in Nile tilapia and 
nutrient loading (P&amp;N) into the water 
งวดที่ 1
</t>
    </r>
    <r>
      <rPr>
        <b/>
        <sz val="13"/>
        <color rgb="FFFF0000"/>
        <rFont val="Angsana New"/>
        <family val="1"/>
      </rPr>
      <t xml:space="preserve">งบประมาณทั้งสิ้น 10,990 USD </t>
    </r>
  </si>
  <si>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2 
</t>
    </r>
    <r>
      <rPr>
        <b/>
        <sz val="13"/>
        <color rgb="FFFF0000"/>
        <rFont val="Angsana New"/>
        <family val="1"/>
      </rPr>
      <t xml:space="preserve">งบประมาณทั้งสิ้น 450,000 บาท </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</si>
  <si>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1 
</t>
    </r>
    <r>
      <rPr>
        <b/>
        <sz val="13"/>
        <color rgb="FFFF0000"/>
        <rFont val="Angsana New"/>
        <family val="1"/>
      </rPr>
      <t xml:space="preserve">วงเงินงบประมาณทั่งสิ้น 604,000 บาท </t>
    </r>
  </si>
  <si>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1
</t>
    </r>
    <r>
      <rPr>
        <b/>
        <sz val="13"/>
        <color rgb="FFFF0000"/>
        <rFont val="Angsana New"/>
        <family val="1"/>
      </rPr>
      <t xml:space="preserve">งบประมาณทั้งสิ้น 700,000 บาท </t>
    </r>
  </si>
  <si>
    <r>
      <t xml:space="preserve">ตามสัญญาเลขที่ N71A670165 สัญญาให้
ทุนอุดหนุนการวิจัยและนวัตกรรม ภายใต้
งานวิจัยเรื่อง การเพิ่มมูลค่าเศษเหลือทิ้ง
จากการแปรรูปปลาด้วยนวัตกรรมผลิตปุ๋ย
ชีวภาพแบบไร้อากาศเพื่อเพิ่มศักยภาพการ
เจริญเติบโตของพืชร่วมยางพาราในพื้นที่
ภาคใต้ตอนบน งวดที่ 1
</t>
    </r>
    <r>
      <rPr>
        <b/>
        <sz val="13"/>
        <color rgb="FFFF0000"/>
        <rFont val="Angsana New"/>
        <family val="1"/>
      </rPr>
      <t xml:space="preserve">งบประมาณทั้งสิ้น 650,000 บาท </t>
    </r>
  </si>
  <si>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1
</t>
    </r>
    <r>
      <rPr>
        <b/>
        <sz val="13"/>
        <color rgb="FFFF0000"/>
        <rFont val="Angsana New"/>
        <family val="1"/>
      </rPr>
      <t>งบประมาณทั้งสิ้น 700,000 บาท</t>
    </r>
  </si>
  <si>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2
</t>
    </r>
    <r>
      <rPr>
        <b/>
        <sz val="13"/>
        <color rgb="FFFF0000"/>
        <rFont val="Angsana New"/>
        <family val="1"/>
      </rPr>
      <t>งบประมาณทั้งสิ้น 450,000 บาท</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</si>
  <si>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4
</t>
    </r>
    <r>
      <rPr>
        <b/>
        <sz val="13"/>
        <color rgb="FFFF0000"/>
        <rFont val="Angsana New"/>
        <family val="1"/>
      </rPr>
      <t xml:space="preserve">งบประมาณทั้งสิ้น 580,000 บาท </t>
    </r>
  </si>
  <si>
    <r>
      <t xml:space="preserve">ตามบันทึกข้อตกลงความร่วมมือโครงการส่งเสริมความร่วมมือการใช้ศักยภาพ
โครงสร้างพื้นฐานทางนิวเคลียร์และ
เครื่องมือวิจัย ภายใต้โครงการการเพาะเลี้ยง
และพัฒนาผลิตภัณฑ์อาหารเสริมสุขภาพ
จากสาหร่ายเตา งวดที่ 2 
</t>
    </r>
    <r>
      <rPr>
        <b/>
        <sz val="13"/>
        <color rgb="FFFF0000"/>
        <rFont val="Angsana New"/>
        <family val="1"/>
      </rPr>
      <t xml:space="preserve">งบประมาณทั้งสิ้น 50,000 บาท </t>
    </r>
  </si>
  <si>
    <r>
      <t xml:space="preserve">เงินสนับสนุนการวิจัย เรื่อง Effects of
Lucantin Pink NXT on Pigmentation Growth Performance and Survival of L. vannamei  </t>
    </r>
    <r>
      <rPr>
        <b/>
        <sz val="13"/>
        <color rgb="FFFF0000"/>
        <rFont val="Angsana New"/>
        <family val="1"/>
      </rPr>
      <t>งบประมาณทั้งสิ้น 981,000 บาท</t>
    </r>
  </si>
  <si>
    <r>
      <t xml:space="preserve">ตามสัญญาจ้างวิจัยเลขที่ 01/2567 ว่าจ้าง
ศึกษา วิจัยและพัฒนาโครงการผลการปรับ
การตอบสนองของภูมิคุ้มกัน และการยับยั้ง
แบบแข่งขันของโพรไบโอติก ในการต่อต้าน
แบคทีเรียที่ทำให้เกิดโรค งวดที่ 1
</t>
    </r>
    <r>
      <rPr>
        <b/>
        <sz val="13"/>
        <color rgb="FFFF0000"/>
        <rFont val="Angsana New"/>
        <family val="1"/>
      </rPr>
      <t>งบประมาณทั้งสิ้น 893,178 บาท</t>
    </r>
  </si>
  <si>
    <r>
      <t xml:space="preserve">ตามสัญญาเลขที่ N25A670051 สัญญา
ให้ทุนอุดหนุนการวิจัยและนวัตกรรม ภายใต้
งานวิจัยเรื่อง การเปลี่ยนแปลงสภาพ
ภูมิอากาศต่อความหลากหลายทางชีวภาพ
ของเราที่อาศัยร่วมกับหญ้าทะเลและ
การเตรียมเมล็ดหญ้าทะเลที่ทนสภาพ
แวดล้อมที่ไม่เหมาะสมสำหรับการเพาะปลูก 
งวดที่ 2
</t>
    </r>
    <r>
      <rPr>
        <b/>
        <sz val="13"/>
        <color rgb="FFFF0000"/>
        <rFont val="Angsana New"/>
        <family val="1"/>
      </rPr>
      <t xml:space="preserve">วงเงินงบประมาณทั่งสิ้น 604,000 บาท </t>
    </r>
  </si>
  <si>
    <r>
      <t xml:space="preserve">ตามสัญญารับทุนอุดหนุนการวิจัยและ
นวัตกรรม เรื่อง การถ่ายทอดนวัตกรรม
การผลิตปุ๋ยชีวภาพจากของเสี่ยอินทรีย์
ในครัวเรือนด้วยกระบวนการหมักแบบ
ไร้อากาศ จังหวัดชายแดนภาคใต้ งวดที่ 5
</t>
    </r>
    <r>
      <rPr>
        <b/>
        <sz val="13"/>
        <color rgb="FFFF0000"/>
        <rFont val="Angsana New"/>
        <family val="1"/>
      </rPr>
      <t xml:space="preserve">งบประมาณทั้งสิ้น 580,000 บาท </t>
    </r>
  </si>
  <si>
    <t>PR2-2567:41/31</t>
  </si>
  <si>
    <t>RV00021000067080064</t>
  </si>
  <si>
    <t>ผศ.ดร.ธนพล อยู่เย็น</t>
  </si>
  <si>
    <t xml:space="preserve">บริษัทสงขลามารีนโปรดักส์ 
จำกัด </t>
  </si>
  <si>
    <r>
      <t xml:space="preserve">ตามข้อตกการสนับสนุนทุนจากงบประมาณ
เงินรายได้ กองทุนวิจัยมหาวิทยาลัยทักษิณ 
ประจำปีงบประมาณ 2567 เลขที่ 
TSU67-ECO001 ตามสัญญาระบุการร่วม
ทุนวิจัย ภายใต้โครงการวิจัย เรื่อง การศึกษา
สัดส่วนที่เหมาะสมของผลิตภัณฑ์จากโรงงาน
ปลาบ่นมาใช้ในการเลี้ยงปลาชะโอน 
</t>
    </r>
    <r>
      <rPr>
        <b/>
        <sz val="13"/>
        <color rgb="FFFF0000"/>
        <rFont val="Angsana New"/>
        <family val="1"/>
      </rPr>
      <t>งบประมาณทั้งสิ้น 80,000 บาท 
สนับสนุนโดยผู้ร่วมทุน 10,000 บาท</t>
    </r>
  </si>
  <si>
    <t>28/08/2567</t>
  </si>
  <si>
    <t>PR2-2567:44/16</t>
  </si>
  <si>
    <t>RV00021000067080365</t>
  </si>
  <si>
    <t>บริษัท บุญเกษม ร่วมค้า จำกัด</t>
  </si>
  <si>
    <r>
      <t xml:space="preserve">ตามสัญญาสนับสนุนการวิจัย เรื่อง Evaluation 
of the Pharmacological Effects of 
Supercritical Carbon Dioxide Extraction of 
THC and CBD from Cannabis on 
Parkinson's Disease in a Cell Culture 
Model  งวดที่  1
</t>
    </r>
    <r>
      <rPr>
        <b/>
        <sz val="13"/>
        <color rgb="FFFF0000"/>
        <rFont val="Angsana New"/>
        <family val="1"/>
      </rPr>
      <t xml:space="preserve">วงเงินงบประมาณ 6,000,000 บาท </t>
    </r>
  </si>
  <si>
    <r>
      <t>ตามสัญญารับทุนอุดหนุนการวิจัยและ
นวัตกรรม เรื่อง การถ่ายทอดเทคโนโลยีกระบวนการเตรียมผ้าเคลือบน้ำยางพารา
เพื่อเลี้ยงปลามีเงี่ยงในบ่อลอย งวดที่ 2</t>
    </r>
    <r>
      <rPr>
        <b/>
        <sz val="13"/>
        <color rgb="FFFF0000"/>
        <rFont val="Angsana New"/>
        <family val="1"/>
      </rPr>
      <t>งบประมาณทั้งสิ้น 590,000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</si>
  <si>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1 
การออกแบบและพัฒนากระบวนการขึ้นรูป
ภาชนะบรรจุอาหารจากกาบหมวก งวดที่ 4 </t>
    </r>
    <r>
      <rPr>
        <b/>
        <sz val="13"/>
        <color rgb="FFFF0000"/>
        <rFont val="Angsana New"/>
        <family val="1"/>
      </rPr>
      <t>งบประมาณโครงการทั้งสิ้น 775,000 บาท</t>
    </r>
  </si>
  <si>
    <r>
      <t xml:space="preserve">ตามสัญญาเลขที่ A17F650113 สัญญาให้ทุน
โครงการ การพัฒนาตัวแบบธุรกิจเพื่อเพิ่มขีด
ความสามารถการแข่งขันของแบรนด์ กาหลง 
เป็นสินค้าเศรษฐกิจใหม่ในภาวะวิกฤต
โควิด-19 จ.สตูล : โครงการย่อยที่ 2 การยืด
อายุวัตถุดิบและผลิตภัณฑ์จากกาบหมาก
ภายใต้แบรนด์ กาหลง โดยใช้เทคโนโลยี
ห้องอบความร้อนร่วม งวดที่ 4
</t>
    </r>
    <r>
      <rPr>
        <b/>
        <sz val="13"/>
        <color rgb="FFFF0000"/>
        <rFont val="Angsana New"/>
        <family val="1"/>
      </rPr>
      <t>งบประมาณโครงการทั้งสิ้น 844,200 บาท</t>
    </r>
  </si>
  <si>
    <t>PR2-2567:41/30</t>
  </si>
  <si>
    <t>RV00021000067080063</t>
  </si>
  <si>
    <t>บริษัทพัทลุงพาราเท็กซ์ 
จำกัด</t>
  </si>
  <si>
    <r>
      <t xml:space="preserve">ตามข้อตกการสนับสนุนทุนจากงบประมาณ
เงินรายได้ กองทุนวิจัยมหาวิทยาลัยทักษิณ 
ประจำปีงบประมาณ 2567 เลขที่ 
TSU67-ECO003 ตามสัญญาระบุการร่วม
ทุนวิจัย ภายใต้โครงการวิจัย เรื่อง การใช้
ประโยชน์จากของเสียจากอุตสาหกรรม
น้ำยางข้นเพื่อเป็นวัสดุนำไฟฟ้า 
</t>
    </r>
    <r>
      <rPr>
        <b/>
        <sz val="13"/>
        <color rgb="FFFF0000"/>
        <rFont val="Angsana New"/>
        <family val="1"/>
      </rPr>
      <t>งบประมาณทั้งสิ้น 90,000 บาท 
สนับสนุนโดยผู้ร่วมทุน 10,000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</si>
  <si>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2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</si>
  <si>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3
</t>
    </r>
    <r>
      <rPr>
        <b/>
        <sz val="13"/>
        <color rgb="FFFF0000"/>
        <rFont val="Angsana New"/>
        <family val="1"/>
      </rPr>
      <t xml:space="preserve">งบประมาณทั้งสิ้น 600,000 บาท </t>
    </r>
  </si>
  <si>
    <r>
      <t xml:space="preserve">ตามสัญญาเลขที่ SG0011.23 สนับสนุน
การวิจัยภายใต้โครงการครุศึกษายุคใหม่ 
หรือ Thailand Strengthening Teacher Education Programmen(T-STEP) งวดที่ 1
</t>
    </r>
    <r>
      <rPr>
        <b/>
        <sz val="13"/>
        <color rgb="FFFF0000"/>
        <rFont val="Angsana New"/>
        <family val="1"/>
      </rPr>
      <t>วงเงินงบประมาณทั้งสิ้น 300,000 บาท</t>
    </r>
    <r>
      <rPr>
        <sz val="13"/>
        <color theme="1"/>
        <rFont val="Angsana New"/>
        <family val="1"/>
      </rPr>
      <t xml:space="preserve"> </t>
    </r>
  </si>
  <si>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1
</t>
    </r>
    <r>
      <rPr>
        <b/>
        <sz val="13"/>
        <color rgb="FFFF0000"/>
        <rFont val="Angsana New"/>
        <family val="1"/>
      </rPr>
      <t xml:space="preserve">งบประมาณทั้งสิ้น 1,000,000 บาท </t>
    </r>
  </si>
  <si>
    <r>
      <t xml:space="preserve">เงินสนับสนุนผ่านโครงการพัฒนาคุณภาพ
การศึกษาและการพัฒนาท้องถิ่นโดยมีสถาบันอุดมศึกษาเป็นพี่เลี้ยง ประจำปี 2567: 
ภายใต้โครงการการพัฒนารูปแบบการเรียน
การสอนวิชาพลศึกษาโดยใช้กิจกรรมทางกาย
บูรณาการกับกลุ่มสาระการเรียนรู้ต่าง ๆ 
ภายหลังจากสถานการณ์โควิด19 ในรูปแบบ 
PLC สู่สังคมที่ยั่งยืน ของนักเรียนระดับ
ประถมศึกษาในโรงเรียนขนาดเล็กและขนาด
กลาง เขตจังหวัดสงขลา พัทลุง และ
นครศรีธรรมราช งวดที่ 1 
</t>
    </r>
    <r>
      <rPr>
        <b/>
        <sz val="13"/>
        <color rgb="FFFF0000"/>
        <rFont val="Angsana New"/>
        <family val="1"/>
      </rPr>
      <t>งบประมาณทั้งสิ้น 200,000 บาท</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</si>
  <si>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4
</t>
    </r>
    <r>
      <rPr>
        <b/>
        <sz val="13"/>
        <color rgb="FFFF0000"/>
        <rFont val="Angsana New"/>
        <family val="1"/>
      </rPr>
      <t xml:space="preserve">งบประมาณทั้งสิ้น 600,000 บาท </t>
    </r>
  </si>
  <si>
    <r>
      <t xml:space="preserve">ตามสัญญารับทุนอุดหนุนการวิจัยและ
นวัตกรรม เรื่อง กลไกลการยกระดับทักษะ
สัมมาชีพบนฐานอัตลักษณ์ชุมชนตามศาสตร์
พระราชาสำหรับเยาวชนพื้นที่เกาะ
จังหวัดสตูล งวดที่ 5
</t>
    </r>
    <r>
      <rPr>
        <b/>
        <sz val="13"/>
        <color rgb="FFFF0000"/>
        <rFont val="Angsana New"/>
        <family val="1"/>
      </rPr>
      <t xml:space="preserve">งบประมาณทั้งสิ้น 600,000 บาท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</si>
  <si>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1</t>
    </r>
    <r>
      <rPr>
        <sz val="13"/>
        <color theme="1"/>
        <rFont val="Angsana New"/>
        <family val="1"/>
      </rPr>
      <t xml:space="preserve"> การพัฒนานวัตกรรม
การบริหารความเป็นอิสระเพื่อสร้างนวัตกร
รุ่นเยาว์ของสถานศึกษาพึ่งตนเอง 
(Stand Alone) โดยใช้หลักปรัชญาเศรษฐกิจ
พอเพียง จังหวัดพัทลุง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</si>
  <si>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ตามสัญญาเลขที่ A13F660088 สัญญาให้ทุนโครงการ การพัฒนาพื้นที่นวัตกรรมการศึกษาบนฐานข้อมูลครัวเรือนคนจนจังหวัดพัทลุง
ด้วยนวัตกรรมเชิงระบบและนวัตกรรม
การเรียนรู้  
</t>
    </r>
    <r>
      <rPr>
        <b/>
        <u/>
        <sz val="13"/>
        <color theme="1"/>
        <rFont val="Angsana New"/>
        <family val="1"/>
      </rPr>
      <t>โครงการวิจัยย่อยที่ 2</t>
    </r>
    <r>
      <rPr>
        <sz val="13"/>
        <color theme="1"/>
        <rFont val="Angsana New"/>
        <family val="1"/>
      </rPr>
      <t xml:space="preserve"> การพัฒนาหลักสูตร
ฐานสมรรถนะการเรียนรู้ทักษะอาชีพ โดยใช้
ชุมชนการเรียนรู้ทางวิชาชีพ งวดที่ 2
</t>
    </r>
    <r>
      <rPr>
        <b/>
        <sz val="13"/>
        <color rgb="FFFF0000"/>
        <rFont val="Angsana New"/>
        <family val="1"/>
      </rPr>
      <t>วงเงินงบประมาณย่อย 1,415,000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</si>
  <si>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1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</si>
  <si>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งวดที่ 2
</t>
    </r>
    <r>
      <rPr>
        <b/>
        <sz val="13"/>
        <color rgb="FFFF0000"/>
        <rFont val="Angsana New"/>
        <family val="1"/>
      </rPr>
      <t xml:space="preserve">งบประมาณทั้งสิ้น 3,000,000 บาท </t>
    </r>
  </si>
  <si>
    <r>
      <t xml:space="preserve">ตามสัญญาเลขที่ A11F660039 สัญญาให้ทุน
โครงการ การพัฒนาชุมชนนวัตกรรมแบบ
มีส่วนร่วมเพื่อยกระดับผลิตภัณฑ์ปลาดุกร้า
ในพื้นที่รอบลุ่มทะเลสาบสงขลาอย่างยั่งยืน </t>
    </r>
    <r>
      <rPr>
        <b/>
        <u/>
        <sz val="13"/>
        <color theme="1"/>
        <rFont val="Angsana New"/>
        <family val="1"/>
      </rPr>
      <t>โครงการวิจัยย่อยที่ 2</t>
    </r>
    <r>
      <rPr>
        <sz val="13"/>
        <color theme="1"/>
        <rFont val="Angsana New"/>
        <family val="1"/>
      </rPr>
      <t xml:space="preserve"> นวัตกรรมเพื่อ
การยกระดับคุณภาพผลิตภัณฑ์ปลาดุกร้า
และการสร้างมูลค่าเพิ่มวัสดุเศษเหลือจาก
กระบวนการผลิตปลาดุกร้าในพื้นที่รอบลุ่ม
ทะเลสาบสงขลา งวดที่ 2
</t>
    </r>
    <r>
      <rPr>
        <b/>
        <sz val="13"/>
        <color rgb="FFFF0000"/>
        <rFont val="Angsana New"/>
        <family val="1"/>
      </rPr>
      <t>วงเงินงบประมาณย่อย 1,169,232 บาท</t>
    </r>
    <r>
      <rPr>
        <sz val="13"/>
        <color theme="1"/>
        <rFont val="Angsana New"/>
        <family val="1"/>
      </rPr>
      <t xml:space="preserve"> </t>
    </r>
  </si>
  <si>
    <r>
      <t xml:space="preserve">ตามบันทึกข้อตกลงความร่วมมือ โครงการ
พัฒนาเครือข่ายสถาบันอุดมศึกษา เพื่อการ
วิจัยและพัฒนาภาครัฐร่วมเอกชนในเชิง
พาณิชย์ ประจำปีงบประมาณ พ.ศ.2566 
ภายใต้งานวิจัย การพัฒนาและประเมินทาง
เคมีภายภาพของตำรับมาร์คหน้าแบบ
ล้างออกจากสารสกัดรำข้าวสังข์หยด งวดที่ 2 </t>
    </r>
    <r>
      <rPr>
        <b/>
        <sz val="13"/>
        <color rgb="FFFF0000"/>
        <rFont val="Angsana New"/>
        <family val="1"/>
      </rPr>
      <t>งบประมาณทั้งสิ้น 150,000 บาท</t>
    </r>
    <r>
      <rPr>
        <sz val="13"/>
        <color theme="1"/>
        <rFont val="Angsana New"/>
        <family val="1"/>
      </rPr>
      <t xml:space="preserve"> 
</t>
    </r>
    <r>
      <rPr>
        <b/>
        <sz val="13"/>
        <color rgb="FF0000CC"/>
        <rFont val="Angsana New"/>
        <family val="1"/>
      </rPr>
      <t>หมายเหตุ : ยกเว้นค่าธรรมเนียมบำรุงสถาบันการศึกษา ตามหนังสือของสำนักงานปลัดกระทรวงการอุดมศึกษา วิทยาศาสตร์ วิจัยและนวัตกรรม 
ที่ อว 0203.7/ว16260</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</si>
  <si>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rFont val="Angsana New"/>
        <family val="1"/>
      </rPr>
      <t>โครงการย่อยที่ 7</t>
    </r>
    <r>
      <rPr>
        <sz val="13"/>
        <rFont val="Angsana New"/>
        <family val="1"/>
      </rPr>
      <t xml:space="preserve">  ท่องเที่ยวชุมชนแก้จน 
ยลวิถีเมืองลุง งวดที่ 2
</t>
    </r>
    <r>
      <rPr>
        <b/>
        <sz val="13"/>
        <color rgb="FFFF0000"/>
        <rFont val="Angsana New"/>
        <family val="1"/>
      </rPr>
      <t>วงเงินงบประมาณย่อย 1,000,000 บาท</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</si>
  <si>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2</t>
    </r>
    <r>
      <rPr>
        <b/>
        <sz val="13"/>
        <color rgb="FFFF0000"/>
        <rFont val="Angsana New"/>
        <family val="1"/>
      </rPr>
      <t xml:space="preserve">งบประมาณทั้งสิ้น 500,000 บาท </t>
    </r>
  </si>
  <si>
    <r>
      <t xml:space="preserve">ตามใบสั่งจ้างเลขที่ จ253/2566 ว่าจ้างศึกษา
สถานการณ์และออกแบบกิจกรรมด้าน
เศรษฐกิจสร้างสรรค์ และกิจกรรม Soft Power 
ในจังหวัดสงขลา งวดที่ 3
</t>
    </r>
    <r>
      <rPr>
        <b/>
        <sz val="13"/>
        <color rgb="FF0000CC"/>
        <rFont val="Angsana New"/>
        <family val="1"/>
      </rPr>
      <t xml:space="preserve">หมายเหตุ : ในงวดที่ 3 มีการหักค่าปรับ
จากการส่งมอบงานเกินระยะเวลาตาม
สัญญาเป็นเงิน 16,000 บาท คงเหลือโอนเงินงวดเพียง 234,000 บาท
</t>
    </r>
    <r>
      <rPr>
        <b/>
        <sz val="13"/>
        <color rgb="FFFF0000"/>
        <rFont val="Angsana New"/>
        <family val="1"/>
      </rPr>
      <t xml:space="preserve">งบประมาณทั้งสิ้น 500,000 บาท </t>
    </r>
  </si>
  <si>
    <r>
      <t>ตามใบสั่งจ้างเลขที่ กฟ(9001)28/2566 
สำหรับรายการจ้างจัดทำแผนยุทธศาสตร์กองทุนพัฒนาไฟฟ้าโรงไฟฟ้าจะนะ จังหวัด
สงขลา พ.ศ.2568 - พ.ศ.2570 (3 ปี) งวดที่ 3-4</t>
    </r>
    <r>
      <rPr>
        <b/>
        <sz val="13"/>
        <color rgb="FFFF0000"/>
        <rFont val="Angsana New"/>
        <family val="1"/>
      </rPr>
      <t xml:space="preserve">งบประมาณทั้งสิ้น 500,000 บาท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</si>
  <si>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งวดที่ 2
</t>
    </r>
    <r>
      <rPr>
        <b/>
        <sz val="13"/>
        <color rgb="FFFF0000"/>
        <rFont val="Angsana New"/>
        <family val="1"/>
      </rPr>
      <t>งบประมาณทั้งสิ้น 21,000,000 บาท</t>
    </r>
    <r>
      <rPr>
        <sz val="13"/>
        <color theme="1"/>
        <rFont val="Angsana New"/>
        <family val="1"/>
      </rPr>
      <t xml:space="preserve"> </t>
    </r>
  </si>
  <si>
    <r>
      <t xml:space="preserve">ตามสัญญาเลขที่ A11F660022 ให้ทุน
โครงการ กริชสกุลช่างสงขลา การสร้าง
คุณค่าและการจัดการทุนทางวัฒนธรรม
แบบมีส่วนร่วมเพื่อพัฒนาเศรษฐกิจฐานราก
อย่างยั่งยืน งวดที่ 2 
</t>
    </r>
    <r>
      <rPr>
        <b/>
        <sz val="13"/>
        <color rgb="FFFF0000"/>
        <rFont val="Angsana New"/>
        <family val="1"/>
      </rPr>
      <t>งบประมาณทั้งสิ้น 2,000,000 บาท</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</si>
  <si>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</si>
  <si>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ตามสัญญาให้ทุนโครงการวิจัยและนวัตกรรม
เพื่อแก้ไขปัญหาความยากจนอย่างเบ็ดเสร็จ
และแม่นยำในจังหวัดพัทลุง ปีที่ 2 
</t>
    </r>
    <r>
      <rPr>
        <b/>
        <sz val="13"/>
        <color theme="1"/>
        <rFont val="Angsana New"/>
        <family val="1"/>
      </rPr>
      <t>(งบประมาณทั้งสิ้น 8,500,000 บาท)</t>
    </r>
    <r>
      <rPr>
        <sz val="13"/>
        <color theme="1"/>
        <rFont val="Angsana New"/>
        <family val="1"/>
      </rPr>
      <t xml:space="preserve"> 
โดยแบ่งเป็นโครงการบริหารจัดการเพื่อแก้ไข
ปัญหาความยากจนระดับจังหวัดพัทลุง งวดที่ 3
</t>
    </r>
    <r>
      <rPr>
        <b/>
        <sz val="13"/>
        <color rgb="FFFF0000"/>
        <rFont val="Angsana New"/>
        <family val="1"/>
      </rPr>
      <t>งบประมาณทั้งสิ้น 3,066,837 บาท</t>
    </r>
    <r>
      <rPr>
        <sz val="13"/>
        <color theme="1"/>
        <rFont val="Angsana New"/>
        <family val="1"/>
      </rPr>
      <t xml:space="preserve"> </t>
    </r>
  </si>
  <si>
    <r>
      <t xml:space="preserve">ตามสัญญาเลขที่ A13F660175 สัญญาให้ทุน
โครงการ ทะเลสาบสงขลานิเวศแห่งการเรียนรู้
สู่เมืองมรดกโลก งวดที่ 2 
</t>
    </r>
    <r>
      <rPr>
        <b/>
        <sz val="13"/>
        <color rgb="FFFF0000"/>
        <rFont val="Angsana New"/>
        <family val="1"/>
      </rPr>
      <t>งบประมาณทั้งสิ้น 500,000 บาท</t>
    </r>
    <r>
      <rPr>
        <sz val="13"/>
        <color theme="1"/>
        <rFont val="Angsana New"/>
        <family val="1"/>
      </rPr>
      <t xml:space="preserve"> </t>
    </r>
  </si>
  <si>
    <r>
      <t xml:space="preserve">ตามสัญญาเลขที่ A11F660109 สัญญาให้ทุน
โครงการ การวิจัยและนวัตกรรมเพื่อแก้ไข
ปัญหาความยากจนแบบเบ็ดเสร็จและแม่นยำ
ในจังหวัดพัทลุง ปีที่ 3 
</t>
    </r>
    <r>
      <rPr>
        <b/>
        <u/>
        <sz val="13"/>
        <color theme="1"/>
        <rFont val="Angsana New"/>
        <family val="1"/>
      </rPr>
      <t>โครงการย่อยที่ 6</t>
    </r>
    <r>
      <rPr>
        <sz val="13"/>
        <color theme="1"/>
        <rFont val="Angsana New"/>
        <family val="1"/>
      </rPr>
      <t xml:space="preserve"> แพลนต์เบสฟู๊ดปันสุข 
กงหรา งวดที่ 2
</t>
    </r>
    <r>
      <rPr>
        <b/>
        <sz val="13"/>
        <color rgb="FFFF0000"/>
        <rFont val="Angsana New"/>
        <family val="1"/>
      </rPr>
      <t>วงเงินงบประมาณย่อย  1,000,000 บาท</t>
    </r>
  </si>
  <si>
    <r>
      <t xml:space="preserve">ตามสัญญาเลขที่ C08F670068 ซึ่งเป็นสัญญา
ให้ทุนโครงการ การพัฒนาธุรกิจฐานนวัตกรรม: 
แผนงานสุดยอดกลุ่มอุตสาหกรรมบีซีจีภาคใต้ 
ภายใต้แผนงาน F7(S1P8) พัมนาและส่งเสริม
ให้ประเทศเพิ่มธุรกิจฐานนวัตกรรม (IDEs) 
งวดที่ 1 
</t>
    </r>
    <r>
      <rPr>
        <b/>
        <sz val="13"/>
        <color rgb="FFFF0000"/>
        <rFont val="Angsana New"/>
        <family val="1"/>
      </rPr>
      <t xml:space="preserve">งบประมาณทั้งสิ้น 10,000,000.00 บาท </t>
    </r>
  </si>
  <si>
    <t>ประจำปีงบประมาณ พ.ศ. 2564   ตั้งแต่วันที่  1  ตุลาคม 2564  ถึงวันที่ 30 กันยายน 2565</t>
  </si>
  <si>
    <t>สรุปรายได้เพื่อการวิจัยจากแหล่งทุนภายนอก</t>
  </si>
  <si>
    <r>
      <rPr>
        <b/>
        <u/>
        <sz val="13"/>
        <color theme="1"/>
        <rFont val="Angsana New"/>
        <family val="1"/>
      </rPr>
      <t>ยกเว้น</t>
    </r>
    <r>
      <rPr>
        <b/>
        <sz val="13"/>
        <color theme="1"/>
        <rFont val="Angsana New"/>
        <family val="1"/>
      </rPr>
      <t xml:space="preserve">
ค่าธรรมเนียม
การวิจัย</t>
    </r>
  </si>
  <si>
    <t>ประจำปีงบประมาณ พ.ศ. 2567   ตั้งแต่วันที่  1  ตุลาคม  2566  ถึงวันที่  30  กันยายน  2567</t>
  </si>
  <si>
    <t>คณะสหวิทยาการและ
การประกอบการ</t>
  </si>
  <si>
    <t>05/09/2567</t>
  </si>
  <si>
    <t>PR2-2567:44/45</t>
  </si>
  <si>
    <t>RV00021000067090048</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</si>
  <si>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3</t>
    </r>
    <r>
      <rPr>
        <sz val="13"/>
        <color theme="1"/>
        <rFont val="Angsana New"/>
        <family val="1"/>
      </rPr>
      <t xml:space="preserve">  พริกขาวชัยบุรี พืช
คู่เคียงคนจน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</si>
  <si>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4</t>
    </r>
    <r>
      <rPr>
        <sz val="13"/>
        <color theme="1"/>
        <rFont val="Angsana New"/>
        <family val="1"/>
      </rPr>
      <t xml:space="preserve">  เหลียงใบใหญ่โมเดล
แก้จน คนศรีนครินทร์ งวดที่ 1
</t>
    </r>
    <r>
      <rPr>
        <b/>
        <sz val="13"/>
        <color rgb="FFFF0000"/>
        <rFont val="Angsana New"/>
        <family val="1"/>
      </rPr>
      <t>งบประมาณทั้งสิ้น 1,270,000 บาท</t>
    </r>
    <r>
      <rPr>
        <sz val="13"/>
        <color theme="1"/>
        <rFont val="Angsana New"/>
        <family val="1"/>
      </rPr>
      <t xml:space="preserve"> </t>
    </r>
  </si>
  <si>
    <t>13/09/2567</t>
  </si>
  <si>
    <t>PR2-2567:46/17</t>
  </si>
  <si>
    <t>RV00021000067090235</t>
  </si>
  <si>
    <r>
      <t xml:space="preserve">ตามสัญญารับเงินสนับสนุนแผนงานหรือ
โครงการเลขที่ 1/2567 ภายใต้โครงการวิจัย 
เรื่อง แนวทางการพัฒนาการมีส่วนร่วมของ
คนพิการในการตรากฎหมาย ภายใต้มาตรา 
77 รัฐธรรมนูญแห่งราชอาณาจักรไทย
พุทธศักราช 2560 งวดที่ 3
</t>
    </r>
    <r>
      <rPr>
        <b/>
        <sz val="13"/>
        <color rgb="FFFF0000"/>
        <rFont val="Angsana New"/>
        <family val="1"/>
      </rPr>
      <t>วงเงินตามสัญญา 508,725 บาท</t>
    </r>
  </si>
  <si>
    <t>30/09/2567</t>
  </si>
  <si>
    <t>PR2-2567:48/14</t>
  </si>
  <si>
    <t>RV00021000067090470</t>
  </si>
  <si>
    <r>
      <t xml:space="preserve">ตามสัญญาเลขที่ N71A670035 สัญญา
ให้ทุนอุดหนุนการวิจัยและนวัตกรรม ภายใต้
งานวิจัยเรื่อง กระบวนการจัดทำต้นแบบ
ธรรมนูญชุมชนเพื่อการอนุรักษ์ทรัพยากร
ของลุ่มน้ำทะเลสาบสงขลาแบบมีส่วนร่วม
ของชุมชนลุ่มน้ำทะเลสาบสงขลาอย่างมั่นคงและยั่งยืน งวดที่ 2
</t>
    </r>
    <r>
      <rPr>
        <b/>
        <sz val="13"/>
        <color rgb="FFFF0000"/>
        <rFont val="Angsana New"/>
        <family val="1"/>
      </rPr>
      <t>วงเงินงบประมาณทั่งสิ้น 500,000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</si>
  <si>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1</t>
    </r>
    <r>
      <rPr>
        <sz val="13"/>
        <color theme="1"/>
        <rFont val="Angsana New"/>
        <family val="1"/>
      </rPr>
      <t xml:space="preserve"> อุตสาหกรรมสร้างสรรค์
งานคราฟกระจูด อำเภอควนขนุน จังหวัด
พัทลุง งวดที่ 1
</t>
    </r>
    <r>
      <rPr>
        <b/>
        <sz val="13"/>
        <color rgb="FFFF0000"/>
        <rFont val="Angsana New"/>
        <family val="1"/>
      </rPr>
      <t>งบประมาณทั้งสิ้น 2,000,000 บาท</t>
    </r>
    <r>
      <rPr>
        <sz val="13"/>
        <color theme="1"/>
        <rFont val="Angsana New"/>
        <family val="1"/>
      </rPr>
      <t xml:space="preserve"> </t>
    </r>
  </si>
  <si>
    <t>ดร.วราภรณ์ ทนงศักดิ์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</si>
  <si>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5</t>
    </r>
    <r>
      <rPr>
        <b/>
        <sz val="13"/>
        <color theme="1"/>
        <rFont val="Angsana New"/>
        <family val="1"/>
      </rPr>
      <t xml:space="preserve"> </t>
    </r>
    <r>
      <rPr>
        <sz val="13"/>
        <color theme="1"/>
        <rFont val="Angsana New"/>
        <family val="1"/>
      </rPr>
      <t xml:space="preserve">บางแก้วโมเดล ประมง
พื้นบ้านแก้จน งวดที่ 1
</t>
    </r>
    <r>
      <rPr>
        <b/>
        <sz val="13"/>
        <color rgb="FFFF0000"/>
        <rFont val="Angsana New"/>
        <family val="1"/>
      </rPr>
      <t>งบประมาณทั้งสิ้น 1,000,000 บาท</t>
    </r>
  </si>
  <si>
    <t>หักส่งงวดสุดท้าย</t>
  </si>
  <si>
    <t>17/09/2567</t>
  </si>
  <si>
    <t>PR2-2567:46/33</t>
  </si>
  <si>
    <t>RV00021000067090276</t>
  </si>
  <si>
    <r>
      <t xml:space="preserve">ตามสัญญาเลขที่ N71A670027 สัญญา
ให้ทุนอุดหนุนการวิจัยและนวัตกรรม ภายใต้
งานวิจัยเรื่อง การจัดการความรู้และ
การถ่ายทอดการใช้แอปพลิเคชันติดตามและ
ช่วยเหลือผู้สูงอายุในสถานการณ์อุทกภัย 
งวดที่ 2
</t>
    </r>
    <r>
      <rPr>
        <b/>
        <sz val="13"/>
        <color rgb="FFFF0000"/>
        <rFont val="Angsana New"/>
        <family val="1"/>
      </rPr>
      <t>วงเงินงบประมาณทั่งสิ้น 500,000 บาท</t>
    </r>
    <r>
      <rPr>
        <sz val="13"/>
        <color theme="1"/>
        <rFont val="Angsana New"/>
        <family val="1"/>
      </rPr>
      <t xml:space="preserve"> </t>
    </r>
  </si>
  <si>
    <t>20/09/2567</t>
  </si>
  <si>
    <t>PR2-2567:47/12</t>
  </si>
  <si>
    <t>RV00021000067090335</t>
  </si>
  <si>
    <r>
      <t>ตามสัญญาจ้างที่ปรึกษาเลขที่ 195/2567 
ได้ว่าจ้างที่ปรึกษาโครงการประเมินความ
เชื่อมั่นของประชาชนในพื้นที่จังหวัดชายแดน
ภาคใต้ที่มีต่อการอำนวยความยุติธรรมของ
กระทรวงยุติธรรม และแผนงานอำนวยความ
ยุติธรรมและเยียวยาผู้ได้รับผลกระทบ 
ประจำปีงบประมาณ พ.ศ.2567 งวดที่ 1</t>
    </r>
    <r>
      <rPr>
        <b/>
        <sz val="13"/>
        <color rgb="FFFF0000"/>
        <rFont val="Angsana New"/>
        <family val="1"/>
      </rPr>
      <t>งบประมาณทั้งสิ้น 1,200,00 บาท</t>
    </r>
    <r>
      <rPr>
        <sz val="13"/>
        <color theme="1"/>
        <rFont val="Angsana New"/>
        <family val="1"/>
      </rPr>
      <t xml:space="preserve"> </t>
    </r>
  </si>
  <si>
    <t>PR2-2567:47/11</t>
  </si>
  <si>
    <t>RV00021000067090336</t>
  </si>
  <si>
    <r>
      <t xml:space="preserve">ตามสัญญารับทุนอุดหนุนการวิจัยและ
นวัตกรรม เรื่อง การพัฒนารูปแบบการให้
ความช่วยเหลือเยียวยาฯ ไปสู่การพัฒนา
แบบเบ็ดเสร็จครบวงจร งวดที่ 4
</t>
    </r>
    <r>
      <rPr>
        <b/>
        <sz val="13"/>
        <color rgb="FFFF0000"/>
        <rFont val="Angsana New"/>
        <family val="1"/>
      </rPr>
      <t xml:space="preserve">งบประมาณทั้งสิ้น 800,000 บาท </t>
    </r>
  </si>
  <si>
    <t>PR2-2567:48/13</t>
  </si>
  <si>
    <t>RV00021000067090468</t>
  </si>
  <si>
    <r>
      <t xml:space="preserve">ตามสัญญาเลขที่ N32A670186 สัญญาให้
ทุนอุดหนุนการวิจัยและนวัตกรรม ภายใต้
งานวิจัยเรื่อง การสร้างสื่อการเรียนรู้แบบ
บูรณาการด้วยโมเดล IC3 เพื่อสงเสริมให้
เกิดการตระหนักรู้และแสดงการมีส่วนร่วม
อย่างเหมาะสมต่อการกลั่นแกล้งบนโลก
ออนไลน์ที่เกี่ยวข้องกับการแสดงความคิดเห็น
ทางการเมือง งวดที่ 2
</t>
    </r>
    <r>
      <rPr>
        <b/>
        <sz val="13"/>
        <color rgb="FFFF0000"/>
        <rFont val="Angsana New"/>
        <family val="1"/>
      </rPr>
      <t>งบประมาณทั้งสิ้น 465,000 บาท</t>
    </r>
  </si>
  <si>
    <t>PR2-2567:44/43</t>
  </si>
  <si>
    <t>RV00021000067090046</t>
  </si>
  <si>
    <r>
      <t xml:space="preserve">ตามข้อตกลงเลขที่ 66-E1-0929  ได้สนับสนุน
ทุนภายใต้โครงการ พัฒนาศักยภาพเครือข่าย
หมออนามัยเพื่อพัฒนาความรอบรู้ด้าน
สุขภาพ ในผู้ดื่มเครื่องดื่มแอลกอฮอล์ใน
ชุมชน งวดที่ 2
</t>
    </r>
    <r>
      <rPr>
        <b/>
        <sz val="13"/>
        <color rgb="FFFF0000"/>
        <rFont val="Angsana New"/>
        <family val="1"/>
      </rPr>
      <t>วงเงินงบประมาณทั้งสิ้น 9,888,000 บาท</t>
    </r>
  </si>
  <si>
    <t>PR2-2567:44/44</t>
  </si>
  <si>
    <t>RV00021000067090047</t>
  </si>
  <si>
    <t>สำนักงานกองทุนสนับสนุน
การสร้างเสริมสุขภาพ</t>
  </si>
  <si>
    <r>
      <t xml:space="preserve">ตามข้อตกลงเลขที่ 66-E1-0932 (รหัสโครงการ 
66-01079) สนับสนุนทุนภายใต้โครงการ 
พัฒนาเครือข่ายสถาบันการศึกษาวิชาชีพสาธารณสุขเพื่อการจัดการอุบัติเหตุทางถนน
ในชุมชน งวดที่ 2
</t>
    </r>
    <r>
      <rPr>
        <b/>
        <sz val="13"/>
        <color rgb="FFFF0000"/>
        <rFont val="Angsana New"/>
        <family val="1"/>
      </rPr>
      <t xml:space="preserve">วงเงินงบประมาณทั้งสิ้น 1,700,000 บาท </t>
    </r>
  </si>
  <si>
    <t>PR2-2567:19/16</t>
  </si>
  <si>
    <t>PR2-2567:44/42</t>
  </si>
  <si>
    <t>RV00021000067090045</t>
  </si>
  <si>
    <r>
      <t xml:space="preserve">ตามสัญญาเลขที่ N24A670226 สัญญาให้
ทุนอุดหนุนการวิจัยและนวัตกรรม ภายใต้
งานวิจัยเรื่อง อาหารเสริมไพรโบโอติกสำหรับ
ชันโรงอิตาม่าเพื่อส่งเสริมสุขภาพและลด
การล่มสลายของรังอันเนื่องมาจากการ
เปลี่ยนแปลงสภาพภูมิอากาศ งวดที่ 2
</t>
    </r>
    <r>
      <rPr>
        <b/>
        <sz val="13"/>
        <color rgb="FFFF0000"/>
        <rFont val="Angsana New"/>
        <family val="1"/>
      </rPr>
      <t>งบประมาณทั้งสิ้น 700,000 บาท</t>
    </r>
  </si>
  <si>
    <t>ดร.ทิพย์ทิวา สัมพันธมิตร</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</si>
  <si>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2</t>
    </r>
    <r>
      <rPr>
        <sz val="13"/>
        <color theme="1"/>
        <rFont val="Angsana New"/>
        <family val="1"/>
      </rPr>
      <t xml:space="preserve">  การยกระดับเศรษฐกิจ
ชุมชนด้วยโมเดลธุรกิจชุมชนเกื้อกูลตาม
ภูมินิเวศเขา-นา จังหวัดพัทลุง ปีที่ 2 งวดที่ 1
</t>
    </r>
    <r>
      <rPr>
        <b/>
        <sz val="13"/>
        <color rgb="FFFF0000"/>
        <rFont val="Angsana New"/>
        <family val="1"/>
      </rPr>
      <t>งบประมาณทั้งสิ้น 2,160,000 บาท</t>
    </r>
  </si>
  <si>
    <t>10/09/2567</t>
  </si>
  <si>
    <t>PR2-2567:45/22</t>
  </si>
  <si>
    <t>RV00021000067090142</t>
  </si>
  <si>
    <r>
      <t xml:space="preserve">ตามบันทึกความเข้าใจความร่วมมือ โครงการพัฒนาเครือข่ายสถาบันอุดมศึกษาเพื่อการ
วิจัยและพัมนาภาครัฐร่วมเอกชนในเชิง
พาณิชย์ ประจำปีงบประมาณ พ.ศ.2567 
ภายใต้โครงการ เรื่อง การประเมินศักยภาพ
ของวัสดุเหลือทิ้งอุตสาหกรรมแปรรูป
กล้วยน้ำว้าเพื่อใช้ประโยชน์ทางอุตสาหกรรม
เกษตร งวดที่ 1
</t>
    </r>
    <r>
      <rPr>
        <b/>
        <sz val="13"/>
        <color rgb="FFFF0000"/>
        <rFont val="Angsana New"/>
        <family val="1"/>
      </rPr>
      <t>งบประมาณทั้งสิ้น 120,000 บาท</t>
    </r>
  </si>
  <si>
    <t>PR2-2567:45/23</t>
  </si>
  <si>
    <t>RV00021000067090143</t>
  </si>
  <si>
    <r>
      <t xml:space="preserve">ตามสัญญารับทุนอุดหนุนการวิจัยและ
นวัตกรรม เรื่อง การถ่ายทอดเทคโนโลยีแอป
พลิเคชันหลักสูตรผู้สูงอายุศึกษาสำหรับ
เยาวชน 3 จังหวัดชายแดนภาคใต้ งวดที่ 3
</t>
    </r>
    <r>
      <rPr>
        <b/>
        <sz val="13"/>
        <color rgb="FFFF0000"/>
        <rFont val="Angsana New"/>
        <family val="1"/>
      </rPr>
      <t>งบประมาณทั้งสิ้น 450,000 บาท</t>
    </r>
  </si>
  <si>
    <t>12/09/2567</t>
  </si>
  <si>
    <t>PR2-2567:46/11</t>
  </si>
  <si>
    <t>RV00021000067090206</t>
  </si>
  <si>
    <r>
      <t xml:space="preserve">ตามสัญญาเลขที่ N24A670215 สัญญาให้
ทุนอุดหนุนการวิจัยและนวัตกรรม ภายใต้
งานวิจัยเรื่อง การพัฒนาสารเสริมอาหาร
สัตว์น้ำโดยการใช้วัสดุเศษเหลือจาก
กระบวนการผลิตปลาป่นเพื่อส่งเสริมการ
เจริญเติบโต อัตราการรอด และภูมิคุ้มกัน
ในการเลี้ยงปลาชะโอน งวดที่ 2
</t>
    </r>
    <r>
      <rPr>
        <b/>
        <sz val="13"/>
        <color rgb="FFFF0000"/>
        <rFont val="Angsana New"/>
        <family val="1"/>
      </rPr>
      <t xml:space="preserve">งบประมาณทั้งสิ้น 700,000 บาท </t>
    </r>
  </si>
  <si>
    <t>PR2-2567:46/32</t>
  </si>
  <si>
    <t>RV00021000067090275</t>
  </si>
  <si>
    <t xml:space="preserve">สำนักงานสภานโยบาย
การอุดมศึกษา 
วิทยาศาสตร์ วิจัยและ
นวัตกรรมแห่งชาติ </t>
  </si>
  <si>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1</t>
    </r>
    <r>
      <rPr>
        <sz val="13"/>
        <color theme="1"/>
        <rFont val="Angsana New"/>
        <family val="1"/>
      </rPr>
      <t xml:space="preserve"> พัฒนารูปแบบและ
กลไกการจัดการทรัพยากรสัตว์น้ำเพื่อการ
เรียนรู้อย่างยั่งยืนของคนทุกช่วง งวดที่ 1
</t>
    </r>
    <r>
      <rPr>
        <b/>
        <sz val="13"/>
        <color rgb="FFFF0000"/>
        <rFont val="Angsana New"/>
        <family val="1"/>
      </rPr>
      <t>งบประมาณ 870,000 บาท</t>
    </r>
  </si>
  <si>
    <t>PR2-2567:48/17</t>
  </si>
  <si>
    <t>RV00021000067090497</t>
  </si>
  <si>
    <r>
      <t xml:space="preserve">ตามสัญญารับทุนอุดหนุนการวิจัยและ
นวัตกรรม เรื่อง ชุดการทอลองเคมีย่อส่วนร่วมกับแอปพลิเคชันเพื่อการเรียนรู้ เรื่อง 
สมดุลเคมี งวดที่ 3 - งวดที่ 5
</t>
    </r>
    <r>
      <rPr>
        <b/>
        <sz val="13"/>
        <color rgb="FFFF0000"/>
        <rFont val="Angsana New"/>
        <family val="1"/>
      </rPr>
      <t xml:space="preserve">งบประมาณทั้งสิ้น 450,000 บาท </t>
    </r>
  </si>
  <si>
    <t>ผศ.ดร.จินตนา กสินันท์</t>
  </si>
  <si>
    <r>
      <t xml:space="preserve">ตามสัญญาเลขที่ A13F670164 สัญญาให้ทุน
โครงการ ทะเลสาบสงขลา นิเวศสามน้ำ
การเรียนรู้ พัฒนาด้วยกลไกเมืองสร้าง
เศรษฐกิจสร้างสรรค์และยั่งยืน ภายใต้
แผนงานย่อย N23(S2P13) พัฒนาพื้นที่
นวัตกรรมการศึกษา และเมืองแห่งการเรียนรู้ 
(Learning City) งวดที่ 1 (งบกลาง)
</t>
    </r>
    <r>
      <rPr>
        <b/>
        <sz val="13"/>
        <color rgb="FFFF0000"/>
        <rFont val="Angsana New"/>
        <family val="1"/>
      </rPr>
      <t>งบประมาณทั้งสิ้น 2,900,000 บาท</t>
    </r>
    <r>
      <rPr>
        <sz val="13"/>
        <color theme="1"/>
        <rFont val="Angsana New"/>
        <family val="1"/>
      </rPr>
      <t xml:space="preserve">  
</t>
    </r>
    <r>
      <rPr>
        <b/>
        <u/>
        <sz val="13"/>
        <color rgb="FFFF0000"/>
        <rFont val="Angsana New"/>
        <family val="1"/>
      </rPr>
      <t xml:space="preserve">โครงการกลางงบประมาณ 1,160,000 บ. </t>
    </r>
  </si>
  <si>
    <t>PR2-2567:48/12</t>
  </si>
  <si>
    <t>RV00021000067090469</t>
  </si>
  <si>
    <r>
      <t xml:space="preserve">ตามสัญญาเลขที่ N32A670238 สัญญาให้
ทุนอุดหนุนการวิจัยและนวัตกรรม ภายใต้
งานวิจัยเรื่อง การพัฒนาภาวะผู้นำเชิง
นวัตกรรมของผู้บริหารสถานศึกษาเพื่อ
สร้างการเปลี่ยนแปลงของสถานศึกษาที่
ยึดโยงกับการจัดการศึกษาเชิงพื้นที่และ
ส่งเสริมคุณลักษณะผู้ร่วมสร้างสรรค์นวัตกรรม
ของผู้เรียนในพื้นที่นวัตกรรมการศึกษา
จังหวัดสงขลา งวดที่ 2
</t>
    </r>
    <r>
      <rPr>
        <b/>
        <sz val="13"/>
        <color rgb="FFFF0000"/>
        <rFont val="Angsana New"/>
        <family val="1"/>
      </rPr>
      <t xml:space="preserve">งบประมาณทั้งสิ้น 1,000,000 บาท </t>
    </r>
  </si>
  <si>
    <t>02/09/2567</t>
  </si>
  <si>
    <t>PL2-2567:5/29</t>
  </si>
  <si>
    <t>RV00021000067090007</t>
  </si>
  <si>
    <t>PL2-2567:6/11</t>
  </si>
  <si>
    <t>RV00021000067090471</t>
  </si>
  <si>
    <t>RV00021000067090480</t>
  </si>
  <si>
    <t>JV00021000067090155</t>
  </si>
  <si>
    <t>องค์กรปกครองส่วนท้องถิ่น
จำนวน 87 หน่วยงาน</t>
  </si>
  <si>
    <t>เทศบาลเมืองเขารูปช้าง
จังหวัดสงขลา</t>
  </si>
  <si>
    <t>ทุนอุดหนุนดำเนินการวิจัยแผนงานวิจัย เรื่อง 
สำรวจความพึงพอใจของประชาชนที่มีต่อ
ผลการดำเนินงานตามแผนยุทธศาสตร์การพัฒนาเทศบาลเมืองเขารูปช้าง 
ประจำปีงบประมาณ พ.ศ.2567</t>
  </si>
  <si>
    <t>รศ.ดร.รุ่งรวี จิตภักดี</t>
  </si>
  <si>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6</t>
    </r>
    <r>
      <rPr>
        <sz val="13"/>
        <color theme="1"/>
        <rFont val="Angsana New"/>
        <family val="1"/>
      </rPr>
      <t xml:space="preserve">  น้ำพุร้อนโอบสุข สร้าง
มูลค่าเครือข่ายท่องเที่ยวพัทลุงสู่มหานคร
แห่งสุขภาวะเพื่อยกระดับเศรษฐกิจจาก
รากสู่โลก งวดที่ 1
</t>
    </r>
    <r>
      <rPr>
        <b/>
        <sz val="13"/>
        <color rgb="FFFF0000"/>
        <rFont val="Angsana New"/>
        <family val="1"/>
      </rPr>
      <t>งบประมาณทั้งสิ้น 2,000,000 บาท</t>
    </r>
    <r>
      <rPr>
        <sz val="13"/>
        <color theme="1"/>
        <rFont val="Angsana New"/>
        <family val="1"/>
      </rPr>
      <t xml:space="preserve"> </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</si>
  <si>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u/>
        <sz val="13"/>
        <color theme="1"/>
        <rFont val="Angsana New"/>
        <family val="1"/>
      </rPr>
      <t>โครการย่อย ที่ 7</t>
    </r>
    <r>
      <rPr>
        <sz val="13"/>
        <color theme="1"/>
        <rFont val="Angsana New"/>
        <family val="1"/>
      </rPr>
      <t xml:space="preserve">  ปลาดุกร้าแก้จนคน
เมืองลุง งวดที่ 1
</t>
    </r>
    <r>
      <rPr>
        <b/>
        <sz val="13"/>
        <color rgb="FFFF0000"/>
        <rFont val="Angsana New"/>
        <family val="1"/>
      </rPr>
      <t>งบประมาณทั้งสิ้น 1,270,000 บาท</t>
    </r>
    <r>
      <rPr>
        <sz val="13"/>
        <color theme="1"/>
        <rFont val="Angsana New"/>
        <family val="1"/>
      </rPr>
      <t xml:space="preserve"> </t>
    </r>
  </si>
  <si>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2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มีการปรับลดวงเงินเหลือ 
171,000.00 บ. ภายใต้โครงการย่อย : 
การสร้างเครือข่ายนานาชาติและ
การพัฒนากลไกการตลาดมวยไทย
เมืองลุงสู่ตลาดโลก ณ กรุงโตเกียว 
ประเทศญี่ปุ่น</t>
    </r>
  </si>
  <si>
    <r>
      <t xml:space="preserve">ตามสัญญาเลขที่ A11F670134 เงินสนับสนุน
ทุนโครงการ พัทลุงโมเดล การวิจัยและ
นวัตกรรมสังคมเพื่อแก้ไขปัญหาความ
ยากจนแบบเบ็ดเสร็จและแม่นยำ 
</t>
    </r>
    <r>
      <rPr>
        <b/>
        <sz val="13"/>
        <color rgb="FFFF0000"/>
        <rFont val="Angsana New"/>
        <family val="1"/>
      </rPr>
      <t>งบประมาณทั้งสิ้น 19,000,000 บาท</t>
    </r>
    <r>
      <rPr>
        <sz val="13"/>
        <color theme="1"/>
        <rFont val="Angsana New"/>
        <family val="1"/>
      </rPr>
      <t xml:space="preserve">
</t>
    </r>
    <r>
      <rPr>
        <b/>
        <u/>
        <sz val="13"/>
        <color theme="1"/>
        <rFont val="Angsana New"/>
        <family val="1"/>
      </rPr>
      <t>โครงการหลัก</t>
    </r>
    <r>
      <rPr>
        <b/>
        <sz val="13"/>
        <color theme="1"/>
        <rFont val="Angsana New"/>
        <family val="1"/>
      </rPr>
      <t xml:space="preserve"> </t>
    </r>
    <r>
      <rPr>
        <sz val="13"/>
        <color theme="1"/>
        <rFont val="Angsana New"/>
        <family val="1"/>
      </rPr>
      <t xml:space="preserve">ภายใต้ผ่นงานย่อย F9 
(S2P11) ขจัดความยากจนและลดความ
เหลื่อมล้ำ โดยการเพิ่มโอกาสและลด
ช่องว่างของการเข้าถึงการพัฒนาอาชีพ การศึกษาเรียนรู้ เทคโนโลยีและนวัตกรรม 
งวดที่ 1 (งบบริหาร) 
</t>
    </r>
    <r>
      <rPr>
        <b/>
        <sz val="13"/>
        <color rgb="FFFF0000"/>
        <rFont val="Angsana New"/>
        <family val="1"/>
      </rPr>
      <t xml:space="preserve">งบประมาณบริหาร วงเงิน 7,300,000 บ. </t>
    </r>
  </si>
  <si>
    <t>PR2-2567:46/10</t>
  </si>
  <si>
    <t>RV00021000067090205</t>
  </si>
  <si>
    <r>
      <t xml:space="preserve">ตามสัญญาเลขที่ A11F670068 สนับสนุน
ทุนโครงการ มวยไทยเมืองลุง : พลังเครือข่าย
แบบมีส่วนร่วมและการจัดการทุนวัฒนธรรม
เพื่อยกระดับเศรษฐกิจชุมชน งวดที่ 4
</t>
    </r>
    <r>
      <rPr>
        <b/>
        <sz val="13"/>
        <color rgb="FFFF0000"/>
        <rFont val="Angsana New"/>
        <family val="1"/>
      </rPr>
      <t>งบประมาณทั้งสิ้น 2,000,000 บาท</t>
    </r>
    <r>
      <rPr>
        <sz val="13"/>
        <color theme="1"/>
        <rFont val="Angsana New"/>
        <family val="1"/>
      </rPr>
      <t xml:space="preserve">
</t>
    </r>
    <r>
      <rPr>
        <b/>
        <u/>
        <sz val="13"/>
        <color rgb="FF0000CC"/>
        <rFont val="Angsana New"/>
        <family val="1"/>
      </rPr>
      <t>หมายเหตุ : เงินงบประมาณ 200,000 บ. ภายใต้โครงการย่อย : การสร้างเครือข่ายนานาชาติและการพัฒนากลไกการตลาดมวยไทยเมืองลุงสู่ตลาดโลก ณ สถานเอกอัครราชทูตไทย ณ สิงคโปร์</t>
    </r>
  </si>
  <si>
    <r>
      <t xml:space="preserve">ตามสัญญาเลขที่ A13F670164 สัญญาให้
ทุนโครงการ ทะเลสาบสงขลา นิเวศสามน้ำ
การเรียนรู้ พัฒนาด้วยกลไกเมืองสร้าง
เศรษฐกิจสร้างสรรค์และยั่งยืน
</t>
    </r>
    <r>
      <rPr>
        <b/>
        <u/>
        <sz val="13"/>
        <color theme="1"/>
        <rFont val="Angsana New"/>
        <family val="1"/>
      </rPr>
      <t>โครงการวิจัยย่อยที่ 2</t>
    </r>
    <r>
      <rPr>
        <sz val="13"/>
        <color theme="1"/>
        <rFont val="Angsana New"/>
        <family val="1"/>
      </rPr>
      <t xml:space="preserve"> การจัดการเมือง
ทะเลสาบสงขลาด้วยตลาดชุมชนและ
การท่องเที่ยวชุมชนจากฐานเมืองเพื่อ
ยกระดับคุณภาพชีวิตและเศรษฐกิจเกื้อกูล 
งวดที่ 1
</t>
    </r>
    <r>
      <rPr>
        <b/>
        <sz val="13"/>
        <color rgb="FFFF0000"/>
        <rFont val="Angsana New"/>
        <family val="1"/>
      </rPr>
      <t>งบประมาณ 870,000 บาท</t>
    </r>
    <r>
      <rPr>
        <sz val="13"/>
        <color theme="1"/>
        <rFont val="Angsana New"/>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</si>
</sst>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dd/mm/yyyy"/>
    <numFmt numFmtId="188" formatCode="#,##0.00_ ;\-#,##0.00\ "/>
  </numFmts>
  <fonts count="72" x14ac:knownFonts="1">
    <font>
      <sz val="11"/>
      <color theme="1"/>
      <name val="Tahoma"/>
      <family val="2"/>
      <charset val="222"/>
      <scheme val="minor"/>
    </font>
    <font>
      <sz val="11"/>
      <color theme="1"/>
      <name val="Tahoma"/>
      <family val="2"/>
      <charset val="222"/>
      <scheme val="minor"/>
    </font>
    <font>
      <b/>
      <sz val="14"/>
      <color theme="1"/>
      <name val="Angsana New"/>
      <family val="1"/>
    </font>
    <font>
      <sz val="14"/>
      <color theme="1"/>
      <name val="Angsana New"/>
      <family val="1"/>
    </font>
    <font>
      <b/>
      <sz val="14"/>
      <name val="Angsana New"/>
      <family val="1"/>
    </font>
    <font>
      <sz val="14"/>
      <color rgb="FFFF0000"/>
      <name val="Angsana New"/>
      <family val="1"/>
    </font>
    <font>
      <b/>
      <sz val="9"/>
      <color indexed="81"/>
      <name val="Tahoma"/>
      <family val="2"/>
    </font>
    <font>
      <sz val="9"/>
      <color indexed="81"/>
      <name val="Tahoma"/>
      <family val="2"/>
    </font>
    <font>
      <b/>
      <sz val="13.5"/>
      <color theme="1"/>
      <name val="Angsana New"/>
      <family val="1"/>
    </font>
    <font>
      <sz val="13.5"/>
      <color theme="1"/>
      <name val="Angsana New"/>
      <family val="1"/>
    </font>
    <font>
      <b/>
      <sz val="13.5"/>
      <name val="Angsana New"/>
      <family val="1"/>
    </font>
    <font>
      <b/>
      <sz val="13.5"/>
      <color rgb="FF0000CC"/>
      <name val="Angsana New"/>
      <family val="1"/>
    </font>
    <font>
      <b/>
      <sz val="13.5"/>
      <color rgb="FFFF0000"/>
      <name val="Angsana New"/>
      <family val="1"/>
    </font>
    <font>
      <sz val="13.5"/>
      <color rgb="FFFF0000"/>
      <name val="Angsana New"/>
      <family val="1"/>
    </font>
    <font>
      <b/>
      <sz val="14.5"/>
      <color theme="1"/>
      <name val="TH SarabunPSK"/>
      <family val="2"/>
    </font>
    <font>
      <sz val="13"/>
      <color theme="1"/>
      <name val="TH SarabunPSK"/>
      <family val="2"/>
    </font>
    <font>
      <b/>
      <sz val="13"/>
      <color theme="1"/>
      <name val="TH SarabunPSK"/>
      <family val="2"/>
    </font>
    <font>
      <sz val="10"/>
      <name val="Arial"/>
      <family val="2"/>
    </font>
    <font>
      <b/>
      <sz val="13"/>
      <color rgb="FF000000"/>
      <name val="TH SarabunPSK"/>
      <family val="2"/>
    </font>
    <font>
      <b/>
      <u/>
      <sz val="13"/>
      <color theme="1"/>
      <name val="TH SarabunPSK"/>
      <family val="2"/>
    </font>
    <font>
      <b/>
      <sz val="13"/>
      <name val="TH SarabunPSK"/>
      <family val="2"/>
    </font>
    <font>
      <sz val="13"/>
      <color theme="1"/>
      <name val="Wingdings 2"/>
      <family val="1"/>
      <charset val="2"/>
    </font>
    <font>
      <sz val="14.5"/>
      <color theme="1"/>
      <name val="TH SarabunPSK"/>
      <family val="2"/>
    </font>
    <font>
      <b/>
      <sz val="18"/>
      <name val="Angsana New"/>
      <family val="1"/>
    </font>
    <font>
      <sz val="14"/>
      <name val="Angsana New"/>
      <family val="1"/>
    </font>
    <font>
      <b/>
      <sz val="14.5"/>
      <color theme="1"/>
      <name val="Cordia New"/>
      <family val="2"/>
    </font>
    <font>
      <sz val="13"/>
      <color theme="1"/>
      <name val="Cordia New"/>
      <family val="2"/>
    </font>
    <font>
      <b/>
      <sz val="13"/>
      <color theme="1"/>
      <name val="Cordia New"/>
      <family val="2"/>
    </font>
    <font>
      <b/>
      <sz val="13"/>
      <color rgb="FF000000"/>
      <name val="Cordia New"/>
      <family val="2"/>
    </font>
    <font>
      <b/>
      <u/>
      <sz val="13"/>
      <color theme="1"/>
      <name val="Cordia New"/>
      <family val="2"/>
    </font>
    <font>
      <b/>
      <sz val="13"/>
      <name val="Cordia New"/>
      <family val="2"/>
    </font>
    <font>
      <b/>
      <sz val="13"/>
      <color rgb="FFFF0000"/>
      <name val="Cordia New"/>
      <family val="2"/>
    </font>
    <font>
      <sz val="14.5"/>
      <color theme="1"/>
      <name val="Cordia New"/>
      <family val="2"/>
    </font>
    <font>
      <b/>
      <sz val="13"/>
      <color rgb="FF0000CC"/>
      <name val="Cordia New"/>
      <family val="2"/>
    </font>
    <font>
      <b/>
      <u/>
      <sz val="13"/>
      <color rgb="FFFF0000"/>
      <name val="Cordia New"/>
      <family val="2"/>
    </font>
    <font>
      <sz val="13"/>
      <name val="Cordia New"/>
      <family val="2"/>
    </font>
    <font>
      <sz val="10"/>
      <color indexed="8"/>
      <name val="Arial"/>
      <family val="2"/>
    </font>
    <font>
      <sz val="13"/>
      <color indexed="8"/>
      <name val="TH SarabunPSK"/>
      <family val="2"/>
    </font>
    <font>
      <b/>
      <sz val="13"/>
      <color indexed="8"/>
      <name val="TH SarabunPSK"/>
      <family val="2"/>
    </font>
    <font>
      <b/>
      <sz val="16"/>
      <color theme="1"/>
      <name val="Angsana New"/>
      <family val="1"/>
    </font>
    <font>
      <b/>
      <sz val="14"/>
      <color rgb="FF000000"/>
      <name val="Angsana New"/>
      <family val="1"/>
    </font>
    <font>
      <b/>
      <sz val="12"/>
      <color theme="1"/>
      <name val="Angsana New"/>
      <family val="1"/>
    </font>
    <font>
      <b/>
      <u/>
      <sz val="12"/>
      <color indexed="8"/>
      <name val="Angsana New"/>
      <family val="1"/>
    </font>
    <font>
      <b/>
      <sz val="12"/>
      <color indexed="8"/>
      <name val="Angsana New"/>
      <family val="1"/>
    </font>
    <font>
      <sz val="16"/>
      <color theme="1"/>
      <name val="Angsana New"/>
      <family val="1"/>
    </font>
    <font>
      <b/>
      <sz val="14.5"/>
      <color theme="1"/>
      <name val="Angsana New"/>
      <family val="1"/>
    </font>
    <font>
      <sz val="13"/>
      <color theme="1"/>
      <name val="Angsana New"/>
      <family val="1"/>
    </font>
    <font>
      <b/>
      <sz val="13"/>
      <color theme="1"/>
      <name val="Angsana New"/>
      <family val="1"/>
    </font>
    <font>
      <b/>
      <sz val="13"/>
      <color rgb="FF000000"/>
      <name val="Angsana New"/>
      <family val="1"/>
    </font>
    <font>
      <b/>
      <u/>
      <sz val="13"/>
      <color indexed="8"/>
      <name val="Angsana New"/>
      <family val="1"/>
    </font>
    <font>
      <b/>
      <sz val="13"/>
      <color indexed="8"/>
      <name val="Angsana New"/>
      <family val="1"/>
    </font>
    <font>
      <b/>
      <sz val="13"/>
      <color indexed="10"/>
      <name val="Angsana New"/>
      <family val="1"/>
    </font>
    <font>
      <b/>
      <sz val="13"/>
      <color rgb="FFFF0000"/>
      <name val="Angsana New"/>
      <family val="1"/>
    </font>
    <font>
      <sz val="13"/>
      <color indexed="8"/>
      <name val="Angsana New"/>
      <family val="1"/>
    </font>
    <font>
      <b/>
      <sz val="13"/>
      <name val="Angsana New"/>
      <family val="1"/>
    </font>
    <font>
      <sz val="13"/>
      <color indexed="10"/>
      <name val="Angsana New"/>
      <family val="1"/>
    </font>
    <font>
      <b/>
      <sz val="13"/>
      <color indexed="12"/>
      <name val="Angsana New"/>
      <family val="1"/>
    </font>
    <font>
      <sz val="14.5"/>
      <color theme="1"/>
      <name val="Angsana New"/>
      <family val="1"/>
    </font>
    <font>
      <sz val="13"/>
      <name val="Angsana New"/>
      <family val="1"/>
    </font>
    <font>
      <b/>
      <u/>
      <sz val="13"/>
      <name val="Angsana New"/>
      <family val="1"/>
    </font>
    <font>
      <b/>
      <sz val="11"/>
      <color rgb="FF000000"/>
      <name val="Angsana New"/>
      <family val="1"/>
    </font>
    <font>
      <b/>
      <i/>
      <sz val="13"/>
      <color indexed="8"/>
      <name val="Angsana New"/>
      <family val="1"/>
    </font>
    <font>
      <b/>
      <sz val="16"/>
      <name val="Angsana New"/>
      <family val="1"/>
    </font>
    <font>
      <sz val="16"/>
      <name val="Angsana New"/>
      <family val="1"/>
    </font>
    <font>
      <sz val="12"/>
      <color theme="1"/>
      <name val="Angsana New"/>
      <family val="1"/>
    </font>
    <font>
      <b/>
      <u/>
      <sz val="13"/>
      <color theme="1"/>
      <name val="Angsana New"/>
      <family val="1"/>
    </font>
    <font>
      <b/>
      <sz val="13"/>
      <color rgb="FF0000CC"/>
      <name val="Angsana New"/>
      <family val="1"/>
    </font>
    <font>
      <sz val="13"/>
      <color rgb="FFFF0000"/>
      <name val="Cordia New"/>
      <family val="2"/>
    </font>
    <font>
      <b/>
      <sz val="10"/>
      <color rgb="FFFF0000"/>
      <name val="Angsana New"/>
      <family val="1"/>
    </font>
    <font>
      <sz val="10"/>
      <color theme="1"/>
      <name val="Angsana New"/>
      <family val="1"/>
    </font>
    <font>
      <b/>
      <u/>
      <sz val="13"/>
      <color rgb="FFFF0000"/>
      <name val="Angsana New"/>
      <family val="1"/>
    </font>
    <font>
      <b/>
      <u/>
      <sz val="13"/>
      <color rgb="FF0000CC"/>
      <name val="Angsana New"/>
      <family val="1"/>
    </font>
  </fonts>
  <fills count="24">
    <fill>
      <patternFill patternType="none"/>
    </fill>
    <fill>
      <patternFill patternType="gray125"/>
    </fill>
    <fill>
      <patternFill patternType="solid">
        <fgColor theme="6" tint="0.79998168889431442"/>
        <bgColor indexed="64"/>
      </patternFill>
    </fill>
    <fill>
      <patternFill patternType="solid">
        <fgColor rgb="FF0070C0"/>
        <bgColor indexed="64"/>
      </patternFill>
    </fill>
    <fill>
      <patternFill patternType="solid">
        <fgColor rgb="FFFFCCFF"/>
        <bgColor indexed="64"/>
      </patternFill>
    </fill>
    <fill>
      <patternFill patternType="solid">
        <fgColor rgb="FF7030A0"/>
        <bgColor indexed="64"/>
      </patternFill>
    </fill>
    <fill>
      <patternFill patternType="solid">
        <fgColor rgb="FF0000CC"/>
        <bgColor indexed="64"/>
      </patternFill>
    </fill>
    <fill>
      <patternFill patternType="solid">
        <fgColor rgb="FF99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0" tint="-0.249977111117893"/>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17" fillId="0" borderId="0"/>
    <xf numFmtId="0" fontId="36" fillId="0" borderId="0">
      <alignment vertical="top"/>
    </xf>
  </cellStyleXfs>
  <cellXfs count="657">
    <xf numFmtId="0" fontId="0" fillId="0" borderId="0" xfId="0"/>
    <xf numFmtId="0" fontId="3" fillId="0" borderId="0" xfId="0" applyFont="1"/>
    <xf numFmtId="0" fontId="3" fillId="0" borderId="0" xfId="0" applyFont="1" applyAlignment="1">
      <alignment horizontal="center"/>
    </xf>
    <xf numFmtId="43" fontId="3" fillId="0" borderId="0" xfId="1" applyFont="1"/>
    <xf numFmtId="0" fontId="2" fillId="0" borderId="0" xfId="0" applyFont="1" applyAlignment="1">
      <alignment horizontal="left"/>
    </xf>
    <xf numFmtId="0" fontId="3" fillId="0" borderId="0" xfId="0" applyFont="1" applyAlignment="1">
      <alignment horizontal="left"/>
    </xf>
    <xf numFmtId="0" fontId="8" fillId="0" borderId="1" xfId="0" applyFont="1" applyBorder="1" applyAlignment="1"/>
    <xf numFmtId="0" fontId="8" fillId="0" borderId="1" xfId="0" applyFont="1" applyBorder="1" applyAlignment="1">
      <alignment shrinkToFit="1"/>
    </xf>
    <xf numFmtId="0" fontId="9" fillId="0" borderId="0" xfId="0" applyFont="1"/>
    <xf numFmtId="43" fontId="8" fillId="3" borderId="2" xfId="1" applyFont="1" applyFill="1" applyBorder="1" applyAlignment="1">
      <alignment horizontal="center" vertical="center"/>
    </xf>
    <xf numFmtId="43" fontId="8" fillId="5" borderId="2" xfId="1" applyFont="1" applyFill="1" applyBorder="1" applyAlignment="1">
      <alignment horizontal="center"/>
    </xf>
    <xf numFmtId="0" fontId="8" fillId="6" borderId="2" xfId="0" applyFont="1" applyFill="1" applyBorder="1" applyAlignment="1">
      <alignment horizontal="center"/>
    </xf>
    <xf numFmtId="0" fontId="8" fillId="0" borderId="0" xfId="0" applyFont="1"/>
    <xf numFmtId="43" fontId="8" fillId="5" borderId="2" xfId="1" applyFont="1" applyFill="1" applyBorder="1" applyAlignment="1">
      <alignment horizontal="center" vertical="center" wrapText="1" shrinkToFit="1"/>
    </xf>
    <xf numFmtId="43" fontId="8" fillId="6" borderId="12" xfId="1" applyFont="1" applyFill="1" applyBorder="1" applyAlignment="1">
      <alignment horizontal="center"/>
    </xf>
    <xf numFmtId="43" fontId="8" fillId="4" borderId="6" xfId="1" applyFont="1" applyFill="1" applyBorder="1" applyAlignment="1">
      <alignment vertical="center" shrinkToFit="1"/>
    </xf>
    <xf numFmtId="43" fontId="8" fillId="5" borderId="2" xfId="1" applyFont="1" applyFill="1" applyBorder="1" applyAlignment="1">
      <alignment horizontal="center" vertical="center" shrinkToFit="1"/>
    </xf>
    <xf numFmtId="43" fontId="8" fillId="8" borderId="2" xfId="1" applyFont="1" applyFill="1" applyBorder="1" applyAlignment="1">
      <alignment horizontal="center" shrinkToFit="1"/>
    </xf>
    <xf numFmtId="43" fontId="8" fillId="8" borderId="2" xfId="1" applyFont="1" applyFill="1" applyBorder="1" applyAlignment="1">
      <alignment horizontal="center"/>
    </xf>
    <xf numFmtId="43" fontId="10" fillId="9" borderId="2" xfId="1" applyFont="1" applyFill="1" applyBorder="1" applyAlignment="1">
      <alignment horizontal="center" shrinkToFit="1"/>
    </xf>
    <xf numFmtId="43" fontId="10" fillId="9" borderId="2" xfId="1" applyFont="1" applyFill="1" applyBorder="1" applyAlignment="1">
      <alignment horizontal="center"/>
    </xf>
    <xf numFmtId="43" fontId="10" fillId="10" borderId="2" xfId="1" applyFont="1" applyFill="1" applyBorder="1" applyAlignment="1">
      <alignment horizontal="center" shrinkToFit="1"/>
    </xf>
    <xf numFmtId="43" fontId="8" fillId="10" borderId="2" xfId="1" applyFont="1" applyFill="1" applyBorder="1" applyAlignment="1">
      <alignment horizontal="center"/>
    </xf>
    <xf numFmtId="43" fontId="8" fillId="6" borderId="6" xfId="1" applyFont="1" applyFill="1" applyBorder="1" applyAlignment="1">
      <alignment horizontal="center"/>
    </xf>
    <xf numFmtId="14" fontId="8" fillId="0" borderId="9" xfId="0" applyNumberFormat="1" applyFont="1" applyBorder="1" applyAlignment="1">
      <alignment horizontal="center" vertical="center"/>
    </xf>
    <xf numFmtId="43" fontId="8" fillId="0" borderId="9" xfId="1" applyFont="1" applyBorder="1" applyAlignment="1">
      <alignment horizontal="center" vertical="center"/>
    </xf>
    <xf numFmtId="0" fontId="8" fillId="0" borderId="9" xfId="0" applyFont="1" applyBorder="1" applyAlignment="1">
      <alignment horizontal="center" vertical="center"/>
    </xf>
    <xf numFmtId="43" fontId="8" fillId="0" borderId="9" xfId="1" applyFont="1" applyBorder="1" applyAlignment="1">
      <alignment horizontal="center"/>
    </xf>
    <xf numFmtId="0" fontId="8" fillId="0" borderId="9" xfId="0" applyFont="1" applyBorder="1" applyAlignment="1">
      <alignment vertical="center"/>
    </xf>
    <xf numFmtId="43" fontId="8" fillId="3" borderId="9" xfId="1" applyFont="1" applyFill="1" applyBorder="1" applyAlignment="1">
      <alignment horizontal="center"/>
    </xf>
    <xf numFmtId="43" fontId="8" fillId="0" borderId="9" xfId="1" applyFont="1" applyFill="1" applyBorder="1" applyAlignment="1">
      <alignment horizontal="center"/>
    </xf>
    <xf numFmtId="43" fontId="8" fillId="5" borderId="9" xfId="1" applyFont="1" applyFill="1" applyBorder="1" applyAlignment="1">
      <alignment horizontal="center"/>
    </xf>
    <xf numFmtId="49" fontId="9" fillId="0" borderId="9" xfId="1" applyNumberFormat="1" applyFont="1" applyFill="1" applyBorder="1" applyAlignment="1">
      <alignment horizontal="center" shrinkToFit="1"/>
    </xf>
    <xf numFmtId="43" fontId="9" fillId="0" borderId="9" xfId="1" applyFont="1" applyFill="1" applyBorder="1" applyAlignment="1">
      <alignment horizontal="center"/>
    </xf>
    <xf numFmtId="49" fontId="8" fillId="0" borderId="9" xfId="1" applyNumberFormat="1" applyFont="1" applyFill="1" applyBorder="1" applyAlignment="1">
      <alignment horizontal="center" shrinkToFit="1"/>
    </xf>
    <xf numFmtId="43" fontId="8" fillId="6" borderId="9" xfId="1" applyFont="1" applyFill="1" applyBorder="1" applyAlignment="1">
      <alignment horizontal="center"/>
    </xf>
    <xf numFmtId="43" fontId="9" fillId="0" borderId="9" xfId="0" applyNumberFormat="1" applyFont="1" applyFill="1" applyBorder="1"/>
    <xf numFmtId="14" fontId="9" fillId="0" borderId="9" xfId="0" applyNumberFormat="1" applyFont="1" applyBorder="1" applyAlignment="1">
      <alignment horizontal="center" vertical="top"/>
    </xf>
    <xf numFmtId="14" fontId="9" fillId="0" borderId="9" xfId="0" applyNumberFormat="1" applyFont="1" applyBorder="1" applyAlignment="1">
      <alignment vertical="top"/>
    </xf>
    <xf numFmtId="14" fontId="9" fillId="0" borderId="9" xfId="0" applyNumberFormat="1" applyFont="1" applyBorder="1" applyAlignment="1">
      <alignment vertical="top" wrapText="1"/>
    </xf>
    <xf numFmtId="43" fontId="9" fillId="0" borderId="9" xfId="1" applyFont="1" applyBorder="1" applyAlignment="1">
      <alignment horizontal="left" vertical="top"/>
    </xf>
    <xf numFmtId="0" fontId="9" fillId="0" borderId="9" xfId="0" applyFont="1" applyBorder="1" applyAlignment="1">
      <alignment horizontal="center" vertical="top"/>
    </xf>
    <xf numFmtId="43" fontId="9" fillId="0" borderId="9" xfId="1" applyFont="1" applyBorder="1" applyAlignment="1">
      <alignment horizontal="center" vertical="top"/>
    </xf>
    <xf numFmtId="0" fontId="9" fillId="0" borderId="9" xfId="0" applyFont="1" applyBorder="1" applyAlignment="1">
      <alignment vertical="top" shrinkToFit="1"/>
    </xf>
    <xf numFmtId="43" fontId="9" fillId="3" borderId="9" xfId="1" applyFont="1" applyFill="1" applyBorder="1" applyAlignment="1">
      <alignment horizontal="center" vertical="top"/>
    </xf>
    <xf numFmtId="43" fontId="9" fillId="0" borderId="9" xfId="1" applyFont="1" applyFill="1" applyBorder="1" applyAlignment="1">
      <alignment horizontal="center" vertical="top"/>
    </xf>
    <xf numFmtId="43" fontId="9" fillId="5" borderId="9" xfId="1" applyFont="1" applyFill="1" applyBorder="1" applyAlignment="1">
      <alignment horizontal="center" vertical="top"/>
    </xf>
    <xf numFmtId="49" fontId="9" fillId="0" borderId="8" xfId="1" applyNumberFormat="1" applyFont="1" applyFill="1" applyBorder="1" applyAlignment="1">
      <alignment horizontal="center" vertical="top" shrinkToFit="1"/>
    </xf>
    <xf numFmtId="43" fontId="9" fillId="0" borderId="8" xfId="1" applyFont="1" applyFill="1" applyBorder="1" applyAlignment="1">
      <alignment horizontal="center" vertical="top"/>
    </xf>
    <xf numFmtId="49" fontId="9" fillId="0" borderId="9" xfId="1" applyNumberFormat="1" applyFont="1" applyFill="1" applyBorder="1" applyAlignment="1">
      <alignment horizontal="center" vertical="top" shrinkToFit="1"/>
    </xf>
    <xf numFmtId="43" fontId="9" fillId="6" borderId="9" xfId="1" applyFont="1" applyFill="1" applyBorder="1" applyAlignment="1">
      <alignment horizontal="center" vertical="top"/>
    </xf>
    <xf numFmtId="43" fontId="9" fillId="0" borderId="8" xfId="0" applyNumberFormat="1" applyFont="1" applyFill="1" applyBorder="1" applyAlignment="1">
      <alignment vertical="top"/>
    </xf>
    <xf numFmtId="0" fontId="9" fillId="0" borderId="0" xfId="0" applyFont="1" applyAlignment="1">
      <alignment vertical="top"/>
    </xf>
    <xf numFmtId="0" fontId="9" fillId="0" borderId="9" xfId="0" applyFont="1" applyBorder="1" applyAlignment="1">
      <alignment vertical="top"/>
    </xf>
    <xf numFmtId="14" fontId="11" fillId="0" borderId="9" xfId="0" applyNumberFormat="1" applyFont="1" applyBorder="1" applyAlignment="1">
      <alignment horizontal="center" vertical="top"/>
    </xf>
    <xf numFmtId="14" fontId="11" fillId="0" borderId="9" xfId="0" applyNumberFormat="1" applyFont="1" applyBorder="1" applyAlignment="1">
      <alignment vertical="top"/>
    </xf>
    <xf numFmtId="14" fontId="11" fillId="0" borderId="9" xfId="0" applyNumberFormat="1" applyFont="1" applyBorder="1" applyAlignment="1">
      <alignment vertical="top" wrapText="1"/>
    </xf>
    <xf numFmtId="43" fontId="11" fillId="0" borderId="9" xfId="1" applyFont="1" applyBorder="1" applyAlignment="1">
      <alignment horizontal="left" vertical="top"/>
    </xf>
    <xf numFmtId="0" fontId="11" fillId="0" borderId="9" xfId="0" applyFont="1" applyBorder="1" applyAlignment="1">
      <alignment horizontal="left" vertical="top"/>
    </xf>
    <xf numFmtId="43" fontId="11" fillId="0" borderId="9" xfId="1" applyFont="1" applyBorder="1" applyAlignment="1">
      <alignment horizontal="center" vertical="top"/>
    </xf>
    <xf numFmtId="0" fontId="11" fillId="0" borderId="9" xfId="0" applyFont="1" applyBorder="1" applyAlignment="1">
      <alignment vertical="top"/>
    </xf>
    <xf numFmtId="43" fontId="11" fillId="3" borderId="9" xfId="1" applyFont="1" applyFill="1" applyBorder="1" applyAlignment="1">
      <alignment horizontal="center" vertical="top"/>
    </xf>
    <xf numFmtId="43" fontId="11" fillId="0" borderId="9" xfId="1" applyFont="1" applyFill="1" applyBorder="1" applyAlignment="1">
      <alignment horizontal="center" vertical="top"/>
    </xf>
    <xf numFmtId="43" fontId="11" fillId="5" borderId="9" xfId="1" applyFont="1" applyFill="1" applyBorder="1" applyAlignment="1">
      <alignment horizontal="center" vertical="top"/>
    </xf>
    <xf numFmtId="49" fontId="11" fillId="0" borderId="8" xfId="1" applyNumberFormat="1" applyFont="1" applyFill="1" applyBorder="1" applyAlignment="1">
      <alignment horizontal="center" vertical="top" shrinkToFit="1"/>
    </xf>
    <xf numFmtId="43" fontId="11" fillId="0" borderId="8" xfId="1" applyFont="1" applyFill="1" applyBorder="1" applyAlignment="1">
      <alignment horizontal="center" vertical="top"/>
    </xf>
    <xf numFmtId="49" fontId="11" fillId="0" borderId="9" xfId="1" applyNumberFormat="1" applyFont="1" applyFill="1" applyBorder="1" applyAlignment="1">
      <alignment horizontal="center" vertical="top" shrinkToFit="1"/>
    </xf>
    <xf numFmtId="43" fontId="11" fillId="6" borderId="9" xfId="1" applyFont="1" applyFill="1" applyBorder="1" applyAlignment="1">
      <alignment horizontal="center" vertical="top"/>
    </xf>
    <xf numFmtId="43" fontId="11" fillId="0" borderId="8" xfId="0" applyNumberFormat="1" applyFont="1" applyFill="1" applyBorder="1" applyAlignment="1">
      <alignment vertical="top"/>
    </xf>
    <xf numFmtId="0" fontId="11" fillId="0" borderId="0" xfId="0" applyFont="1" applyAlignment="1">
      <alignment vertical="top"/>
    </xf>
    <xf numFmtId="14" fontId="9" fillId="0" borderId="9" xfId="0" applyNumberFormat="1" applyFont="1" applyBorder="1" applyAlignment="1">
      <alignment horizontal="center" vertical="center"/>
    </xf>
    <xf numFmtId="14" fontId="9" fillId="0" borderId="9" xfId="0" applyNumberFormat="1" applyFont="1" applyBorder="1" applyAlignment="1">
      <alignment vertical="center"/>
    </xf>
    <xf numFmtId="43" fontId="9" fillId="0" borderId="9" xfId="1" applyFont="1" applyBorder="1" applyAlignment="1">
      <alignment horizontal="center" vertical="center"/>
    </xf>
    <xf numFmtId="0" fontId="9" fillId="0" borderId="9" xfId="0" applyFont="1" applyBorder="1" applyAlignment="1">
      <alignment horizontal="center" vertical="center"/>
    </xf>
    <xf numFmtId="43" fontId="9" fillId="0" borderId="9" xfId="1" applyFont="1" applyBorder="1" applyAlignment="1">
      <alignment horizontal="center"/>
    </xf>
    <xf numFmtId="0" fontId="9" fillId="0" borderId="9" xfId="0" applyFont="1" applyBorder="1" applyAlignment="1">
      <alignment vertical="center"/>
    </xf>
    <xf numFmtId="43" fontId="9" fillId="3" borderId="9" xfId="1" applyFont="1" applyFill="1" applyBorder="1" applyAlignment="1">
      <alignment horizontal="center"/>
    </xf>
    <xf numFmtId="43" fontId="9" fillId="5" borderId="9" xfId="1" applyFont="1" applyFill="1" applyBorder="1" applyAlignment="1">
      <alignment horizontal="center"/>
    </xf>
    <xf numFmtId="49" fontId="9" fillId="0" borderId="8" xfId="1" applyNumberFormat="1" applyFont="1" applyFill="1" applyBorder="1" applyAlignment="1">
      <alignment horizontal="center" shrinkToFit="1"/>
    </xf>
    <xf numFmtId="43" fontId="9" fillId="0" borderId="8" xfId="1" applyFont="1" applyFill="1" applyBorder="1" applyAlignment="1">
      <alignment horizontal="center"/>
    </xf>
    <xf numFmtId="43" fontId="9" fillId="6" borderId="9" xfId="1" applyFont="1" applyFill="1" applyBorder="1" applyAlignment="1">
      <alignment horizontal="center"/>
    </xf>
    <xf numFmtId="43" fontId="9" fillId="0" borderId="8" xfId="0" applyNumberFormat="1" applyFont="1" applyFill="1" applyBorder="1"/>
    <xf numFmtId="0" fontId="8" fillId="0" borderId="11" xfId="0" applyFont="1" applyBorder="1" applyAlignment="1">
      <alignment horizontal="center"/>
    </xf>
    <xf numFmtId="43" fontId="8" fillId="0" borderId="11" xfId="1" applyFont="1" applyBorder="1"/>
    <xf numFmtId="43" fontId="12" fillId="0" borderId="11" xfId="0" applyNumberFormat="1" applyFont="1" applyBorder="1"/>
    <xf numFmtId="43" fontId="8" fillId="3" borderId="11" xfId="1" applyFont="1" applyFill="1" applyBorder="1"/>
    <xf numFmtId="43" fontId="8" fillId="5" borderId="11" xfId="1" applyFont="1" applyFill="1" applyBorder="1"/>
    <xf numFmtId="43" fontId="8" fillId="0" borderId="11" xfId="1" applyFont="1" applyBorder="1" applyAlignment="1">
      <alignment shrinkToFit="1"/>
    </xf>
    <xf numFmtId="0" fontId="8" fillId="0" borderId="11" xfId="0" applyFont="1" applyBorder="1" applyAlignment="1">
      <alignment shrinkToFit="1"/>
    </xf>
    <xf numFmtId="43" fontId="8" fillId="6" borderId="11" xfId="1" applyFont="1" applyFill="1" applyBorder="1"/>
    <xf numFmtId="0" fontId="9" fillId="0" borderId="0" xfId="0" applyFont="1" applyAlignment="1">
      <alignment horizontal="center"/>
    </xf>
    <xf numFmtId="43" fontId="9" fillId="0" borderId="0" xfId="1" applyFont="1"/>
    <xf numFmtId="43" fontId="13" fillId="0" borderId="0" xfId="1" applyFont="1"/>
    <xf numFmtId="0" fontId="9" fillId="0" borderId="0" xfId="0" applyFont="1" applyAlignment="1">
      <alignment shrinkToFit="1"/>
    </xf>
    <xf numFmtId="43" fontId="9" fillId="0" borderId="0" xfId="0" applyNumberFormat="1" applyFont="1"/>
    <xf numFmtId="14" fontId="9" fillId="0" borderId="2" xfId="0" applyNumberFormat="1" applyFont="1" applyBorder="1" applyAlignment="1">
      <alignment horizontal="left" vertical="top"/>
    </xf>
    <xf numFmtId="14" fontId="9" fillId="0" borderId="2" xfId="0" applyNumberFormat="1" applyFont="1" applyBorder="1" applyAlignment="1">
      <alignment horizontal="left" vertical="top" wrapText="1"/>
    </xf>
    <xf numFmtId="43" fontId="9" fillId="0" borderId="2" xfId="1" applyFont="1" applyBorder="1" applyAlignment="1">
      <alignment horizontal="left" vertical="top" wrapText="1"/>
    </xf>
    <xf numFmtId="0" fontId="9" fillId="0" borderId="2" xfId="0" applyFont="1" applyBorder="1" applyAlignment="1">
      <alignment horizontal="left" vertical="top"/>
    </xf>
    <xf numFmtId="43" fontId="9" fillId="0" borderId="2" xfId="1" applyFont="1" applyBorder="1" applyAlignment="1">
      <alignment horizontal="left" vertical="top"/>
    </xf>
    <xf numFmtId="0" fontId="9" fillId="0" borderId="9" xfId="0" applyFont="1" applyBorder="1" applyAlignment="1">
      <alignment horizontal="left" vertical="top" shrinkToFit="1"/>
    </xf>
    <xf numFmtId="43" fontId="9" fillId="3" borderId="9" xfId="1" applyFont="1" applyFill="1" applyBorder="1" applyAlignment="1">
      <alignment horizontal="left" vertical="top"/>
    </xf>
    <xf numFmtId="43" fontId="9" fillId="0" borderId="9" xfId="1" applyFont="1" applyFill="1" applyBorder="1" applyAlignment="1">
      <alignment horizontal="left" vertical="top"/>
    </xf>
    <xf numFmtId="43" fontId="9" fillId="5" borderId="9" xfId="1" applyFont="1" applyFill="1" applyBorder="1" applyAlignment="1">
      <alignment horizontal="left" vertical="top"/>
    </xf>
    <xf numFmtId="49" fontId="9" fillId="0" borderId="8" xfId="1" applyNumberFormat="1" applyFont="1" applyFill="1" applyBorder="1" applyAlignment="1">
      <alignment horizontal="left" vertical="top" shrinkToFit="1"/>
    </xf>
    <xf numFmtId="43" fontId="9" fillId="0" borderId="8" xfId="1" applyFont="1" applyFill="1" applyBorder="1" applyAlignment="1">
      <alignment horizontal="left" vertical="top"/>
    </xf>
    <xf numFmtId="49" fontId="9" fillId="0" borderId="9" xfId="1" applyNumberFormat="1" applyFont="1" applyFill="1" applyBorder="1" applyAlignment="1">
      <alignment horizontal="left" vertical="top" shrinkToFit="1"/>
    </xf>
    <xf numFmtId="43" fontId="9" fillId="6" borderId="9" xfId="1" applyFont="1" applyFill="1" applyBorder="1" applyAlignment="1">
      <alignment horizontal="left" vertical="top"/>
    </xf>
    <xf numFmtId="43" fontId="9" fillId="0" borderId="8" xfId="0" applyNumberFormat="1" applyFont="1" applyFill="1" applyBorder="1" applyAlignment="1">
      <alignment horizontal="left" vertical="top"/>
    </xf>
    <xf numFmtId="0" fontId="9" fillId="0" borderId="0" xfId="0" applyFont="1" applyAlignment="1">
      <alignment horizontal="left" vertical="top"/>
    </xf>
    <xf numFmtId="0" fontId="9" fillId="0" borderId="9" xfId="0" applyFont="1" applyBorder="1" applyAlignment="1">
      <alignment horizontal="left" vertical="top"/>
    </xf>
    <xf numFmtId="49" fontId="8" fillId="0" borderId="2"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0" fontId="15" fillId="0" borderId="0" xfId="0" applyFont="1"/>
    <xf numFmtId="0" fontId="15" fillId="0" borderId="0" xfId="0" applyFont="1" applyAlignment="1">
      <alignment horizontal="center" wrapText="1"/>
    </xf>
    <xf numFmtId="187" fontId="15" fillId="0" borderId="0" xfId="0" applyNumberFormat="1" applyFont="1" applyAlignment="1">
      <alignment horizontal="center" wrapText="1"/>
    </xf>
    <xf numFmtId="0" fontId="15" fillId="0" borderId="0" xfId="0" applyFont="1" applyAlignment="1">
      <alignment horizontal="left" wrapText="1"/>
    </xf>
    <xf numFmtId="0" fontId="15" fillId="0" borderId="0" xfId="0" applyFont="1" applyAlignment="1">
      <alignment wrapText="1"/>
    </xf>
    <xf numFmtId="43" fontId="15" fillId="0" borderId="0" xfId="1" applyFont="1" applyAlignment="1">
      <alignment wrapText="1"/>
    </xf>
    <xf numFmtId="4" fontId="18" fillId="11" borderId="14" xfId="2" applyNumberFormat="1" applyFont="1" applyFill="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vertical="top" wrapText="1"/>
    </xf>
    <xf numFmtId="0" fontId="16" fillId="11" borderId="2" xfId="0" applyFont="1" applyFill="1" applyBorder="1" applyAlignment="1">
      <alignment horizontal="center" vertical="top" wrapText="1"/>
    </xf>
    <xf numFmtId="0" fontId="20" fillId="9" borderId="4" xfId="0" applyNumberFormat="1" applyFont="1" applyFill="1" applyBorder="1" applyAlignment="1">
      <alignment horizontal="left" vertical="center"/>
    </xf>
    <xf numFmtId="187"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center" vertical="center"/>
    </xf>
    <xf numFmtId="0" fontId="20" fillId="9" borderId="13" xfId="0" applyNumberFormat="1" applyFont="1" applyFill="1" applyBorder="1" applyAlignment="1">
      <alignment horizontal="left" vertical="center"/>
    </xf>
    <xf numFmtId="0" fontId="20" fillId="9" borderId="13" xfId="0" applyNumberFormat="1" applyFont="1" applyFill="1" applyBorder="1" applyAlignment="1">
      <alignment vertical="center"/>
    </xf>
    <xf numFmtId="43" fontId="20" fillId="9" borderId="2" xfId="1" applyFont="1" applyFill="1" applyBorder="1" applyAlignment="1">
      <alignment vertical="center"/>
    </xf>
    <xf numFmtId="0" fontId="15" fillId="0" borderId="9" xfId="0" applyFont="1" applyBorder="1" applyAlignment="1">
      <alignment horizontal="center" vertical="top" wrapText="1"/>
    </xf>
    <xf numFmtId="187" fontId="15" fillId="0" borderId="9" xfId="0" applyNumberFormat="1" applyFont="1" applyBorder="1" applyAlignment="1">
      <alignment horizontal="center" vertical="top" shrinkToFit="1"/>
    </xf>
    <xf numFmtId="0" fontId="15" fillId="0" borderId="9" xfId="0" applyFont="1" applyBorder="1" applyAlignment="1">
      <alignment horizontal="center" vertical="top" shrinkToFit="1"/>
    </xf>
    <xf numFmtId="0" fontId="15" fillId="0" borderId="9" xfId="0" applyFont="1" applyBorder="1" applyAlignment="1">
      <alignment horizontal="center" vertical="top" wrapText="1" shrinkToFit="1"/>
    </xf>
    <xf numFmtId="0" fontId="15" fillId="0" borderId="9" xfId="0" applyFont="1" applyBorder="1" applyAlignment="1">
      <alignment horizontal="left" vertical="top" wrapText="1"/>
    </xf>
    <xf numFmtId="0" fontId="15" fillId="0" borderId="9" xfId="0" applyFont="1" applyBorder="1" applyAlignment="1">
      <alignment vertical="top" wrapText="1"/>
    </xf>
    <xf numFmtId="43" fontId="15" fillId="0" borderId="9" xfId="1" applyFont="1" applyBorder="1" applyAlignment="1">
      <alignment vertical="top" wrapText="1"/>
    </xf>
    <xf numFmtId="43" fontId="15" fillId="0" borderId="8" xfId="1" applyFont="1" applyBorder="1" applyAlignment="1">
      <alignment vertical="top" wrapText="1"/>
    </xf>
    <xf numFmtId="0" fontId="15" fillId="0" borderId="0" xfId="0" applyFont="1" applyAlignment="1">
      <alignment vertical="top" wrapText="1"/>
    </xf>
    <xf numFmtId="0" fontId="15" fillId="0" borderId="8" xfId="0" applyFont="1" applyBorder="1" applyAlignment="1">
      <alignment horizontal="center" vertical="top" wrapText="1"/>
    </xf>
    <xf numFmtId="187" fontId="15" fillId="0" borderId="8" xfId="0" applyNumberFormat="1" applyFont="1" applyBorder="1" applyAlignment="1">
      <alignment horizontal="center" vertical="top" shrinkToFit="1"/>
    </xf>
    <xf numFmtId="0" fontId="15" fillId="0" borderId="8" xfId="0" applyFont="1" applyBorder="1" applyAlignment="1">
      <alignment horizontal="center" vertical="top" wrapText="1" shrinkToFit="1"/>
    </xf>
    <xf numFmtId="0" fontId="15" fillId="0" borderId="8" xfId="0" applyFont="1" applyBorder="1" applyAlignment="1">
      <alignment horizontal="center" vertical="top" shrinkToFit="1"/>
    </xf>
    <xf numFmtId="0" fontId="15" fillId="0" borderId="8" xfId="0" applyFont="1" applyBorder="1" applyAlignment="1">
      <alignment horizontal="left" vertical="top" wrapText="1"/>
    </xf>
    <xf numFmtId="0" fontId="15" fillId="0" borderId="8" xfId="0" applyFont="1" applyBorder="1" applyAlignment="1">
      <alignment vertical="top" wrapText="1"/>
    </xf>
    <xf numFmtId="43" fontId="21" fillId="0" borderId="8" xfId="1" applyFont="1" applyBorder="1" applyAlignment="1">
      <alignment horizontal="center" vertical="top" wrapText="1"/>
    </xf>
    <xf numFmtId="0" fontId="15" fillId="0" borderId="3" xfId="0" applyFont="1" applyBorder="1" applyAlignment="1">
      <alignment horizontal="center" vertical="top"/>
    </xf>
    <xf numFmtId="187" fontId="15" fillId="0" borderId="3" xfId="0" applyNumberFormat="1" applyFont="1" applyBorder="1" applyAlignment="1">
      <alignment horizontal="center" vertical="top"/>
    </xf>
    <xf numFmtId="0" fontId="15" fillId="0" borderId="3" xfId="0" applyFont="1" applyBorder="1" applyAlignment="1">
      <alignment horizontal="left" vertical="top"/>
    </xf>
    <xf numFmtId="0" fontId="15" fillId="0" borderId="3" xfId="0" applyFont="1" applyBorder="1" applyAlignment="1">
      <alignment vertical="top" wrapText="1"/>
    </xf>
    <xf numFmtId="43" fontId="15" fillId="0" borderId="2" xfId="1" applyFont="1" applyBorder="1" applyAlignment="1">
      <alignment vertical="top"/>
    </xf>
    <xf numFmtId="0" fontId="15" fillId="0" borderId="0" xfId="0" applyFont="1" applyAlignment="1">
      <alignment vertical="top"/>
    </xf>
    <xf numFmtId="43" fontId="16" fillId="0" borderId="2" xfId="1" applyFont="1" applyBorder="1" applyAlignment="1">
      <alignment vertical="center" shrinkToFit="1"/>
    </xf>
    <xf numFmtId="0" fontId="16" fillId="0" borderId="0" xfId="0" applyFont="1" applyAlignment="1">
      <alignment vertical="center"/>
    </xf>
    <xf numFmtId="43" fontId="22" fillId="0" borderId="0" xfId="1" applyFont="1" applyBorder="1" applyAlignment="1">
      <alignment vertical="center"/>
    </xf>
    <xf numFmtId="0" fontId="15" fillId="0" borderId="0" xfId="0" applyFont="1" applyAlignment="1">
      <alignment horizontal="center"/>
    </xf>
    <xf numFmtId="187" fontId="15" fillId="0" borderId="0" xfId="0" applyNumberFormat="1" applyFont="1" applyAlignment="1">
      <alignment horizontal="center"/>
    </xf>
    <xf numFmtId="0" fontId="15" fillId="0" borderId="0" xfId="0" applyFont="1" applyAlignment="1">
      <alignment horizontal="left"/>
    </xf>
    <xf numFmtId="43" fontId="15" fillId="0" borderId="0" xfId="1" applyFont="1"/>
    <xf numFmtId="14" fontId="15" fillId="0" borderId="0" xfId="0" applyNumberFormat="1" applyFont="1" applyAlignment="1">
      <alignment horizontal="center" wrapText="1"/>
    </xf>
    <xf numFmtId="14" fontId="20" fillId="9" borderId="13" xfId="0" applyNumberFormat="1" applyFont="1" applyFill="1" applyBorder="1" applyAlignment="1">
      <alignment horizontal="center" vertical="center"/>
    </xf>
    <xf numFmtId="14" fontId="15" fillId="0" borderId="9" xfId="0" applyNumberFormat="1" applyFont="1" applyBorder="1" applyAlignment="1">
      <alignment horizontal="center" vertical="top" shrinkToFit="1"/>
    </xf>
    <xf numFmtId="14" fontId="15" fillId="0" borderId="8" xfId="0" applyNumberFormat="1" applyFont="1" applyBorder="1" applyAlignment="1">
      <alignment horizontal="center" vertical="top" shrinkToFit="1"/>
    </xf>
    <xf numFmtId="0" fontId="15" fillId="0" borderId="15" xfId="0" applyFont="1" applyBorder="1" applyAlignment="1">
      <alignment horizontal="left" vertical="top" wrapText="1"/>
    </xf>
    <xf numFmtId="0" fontId="15" fillId="0" borderId="7" xfId="0" applyFont="1" applyBorder="1" applyAlignment="1">
      <alignment horizontal="center" vertical="top" wrapText="1"/>
    </xf>
    <xf numFmtId="14" fontId="15" fillId="0" borderId="7" xfId="0" applyNumberFormat="1" applyFont="1" applyBorder="1" applyAlignment="1">
      <alignment horizontal="center" vertical="top" shrinkToFit="1"/>
    </xf>
    <xf numFmtId="0" fontId="15" fillId="0" borderId="7" xfId="0" applyFont="1" applyBorder="1" applyAlignment="1">
      <alignment horizontal="center" vertical="top" shrinkToFit="1"/>
    </xf>
    <xf numFmtId="0" fontId="15" fillId="0" borderId="7" xfId="0" applyFont="1" applyBorder="1" applyAlignment="1">
      <alignment horizontal="center" vertical="top" wrapText="1" shrinkToFit="1"/>
    </xf>
    <xf numFmtId="0" fontId="15" fillId="0" borderId="7" xfId="0" applyFont="1" applyBorder="1" applyAlignment="1">
      <alignment horizontal="left" vertical="top" wrapText="1"/>
    </xf>
    <xf numFmtId="0" fontId="15" fillId="0" borderId="7" xfId="0" applyFont="1" applyBorder="1" applyAlignment="1">
      <alignment vertical="top" wrapText="1"/>
    </xf>
    <xf numFmtId="43" fontId="15" fillId="0" borderId="7" xfId="1" applyFont="1" applyBorder="1" applyAlignment="1">
      <alignment vertical="top" wrapText="1"/>
    </xf>
    <xf numFmtId="43" fontId="16" fillId="0" borderId="8" xfId="1" applyFont="1" applyBorder="1" applyAlignment="1">
      <alignment horizontal="center" vertical="top" wrapText="1"/>
    </xf>
    <xf numFmtId="14" fontId="15" fillId="0" borderId="3" xfId="0" applyNumberFormat="1" applyFont="1" applyBorder="1" applyAlignment="1">
      <alignment horizontal="center" vertical="top"/>
    </xf>
    <xf numFmtId="14" fontId="15" fillId="0" borderId="0" xfId="0" applyNumberFormat="1" applyFont="1" applyAlignment="1">
      <alignment horizontal="center"/>
    </xf>
    <xf numFmtId="0" fontId="24" fillId="0" borderId="0" xfId="0" applyFont="1" applyFill="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applyAlignment="1">
      <alignment vertical="top"/>
    </xf>
    <xf numFmtId="43" fontId="4" fillId="0" borderId="2" xfId="1" applyFont="1" applyFill="1" applyBorder="1" applyAlignment="1">
      <alignment horizontal="center" vertical="top"/>
    </xf>
    <xf numFmtId="14" fontId="24" fillId="0" borderId="2" xfId="0" applyNumberFormat="1" applyFont="1" applyFill="1" applyBorder="1" applyAlignment="1">
      <alignment horizontal="center" vertical="top"/>
    </xf>
    <xf numFmtId="0" fontId="24" fillId="0" borderId="2" xfId="0" applyFont="1" applyFill="1" applyBorder="1" applyAlignment="1">
      <alignment horizontal="center" vertical="top"/>
    </xf>
    <xf numFmtId="0" fontId="24" fillId="0" borderId="2" xfId="0" applyFont="1" applyFill="1" applyBorder="1" applyAlignment="1">
      <alignment vertical="top"/>
    </xf>
    <xf numFmtId="0" fontId="24" fillId="0" borderId="2" xfId="0" applyFont="1" applyFill="1" applyBorder="1" applyAlignment="1">
      <alignment vertical="top" wrapText="1"/>
    </xf>
    <xf numFmtId="43" fontId="24" fillId="0" borderId="2" xfId="0" applyNumberFormat="1" applyFont="1" applyFill="1" applyBorder="1" applyAlignment="1">
      <alignment horizontal="center" vertical="top"/>
    </xf>
    <xf numFmtId="14" fontId="24" fillId="0" borderId="2" xfId="0" applyNumberFormat="1" applyFont="1" applyFill="1" applyBorder="1" applyAlignment="1">
      <alignment horizontal="left" vertical="top"/>
    </xf>
    <xf numFmtId="0" fontId="24" fillId="0" borderId="2" xfId="0" applyFont="1" applyFill="1" applyBorder="1" applyAlignment="1">
      <alignment horizontal="left" vertical="top" wrapText="1"/>
    </xf>
    <xf numFmtId="43" fontId="24" fillId="0" borderId="2" xfId="1" applyFont="1" applyFill="1" applyBorder="1" applyAlignment="1">
      <alignment horizontal="center" vertical="top"/>
    </xf>
    <xf numFmtId="43" fontId="24" fillId="0" borderId="2" xfId="1" applyFont="1" applyFill="1" applyBorder="1" applyAlignment="1">
      <alignment vertical="top"/>
    </xf>
    <xf numFmtId="0" fontId="24" fillId="0" borderId="0" xfId="0" applyFont="1" applyFill="1" applyAlignment="1">
      <alignment vertical="top"/>
    </xf>
    <xf numFmtId="0" fontId="24" fillId="0" borderId="2" xfId="0" applyNumberFormat="1" applyFont="1" applyFill="1" applyBorder="1" applyAlignment="1">
      <alignment vertical="top" wrapText="1"/>
    </xf>
    <xf numFmtId="0" fontId="24" fillId="0" borderId="2" xfId="0" applyFont="1" applyBorder="1" applyAlignment="1">
      <alignment vertical="top"/>
    </xf>
    <xf numFmtId="43" fontId="24" fillId="0" borderId="2" xfId="1" applyFont="1" applyFill="1" applyBorder="1" applyAlignment="1">
      <alignment horizontal="left" vertical="top"/>
    </xf>
    <xf numFmtId="0" fontId="24" fillId="0" borderId="2" xfId="0" applyFont="1" applyBorder="1" applyAlignment="1">
      <alignment horizontal="center" vertical="top"/>
    </xf>
    <xf numFmtId="0" fontId="24" fillId="0" borderId="2" xfId="0" applyFont="1" applyBorder="1" applyAlignment="1">
      <alignment vertical="top" wrapText="1"/>
    </xf>
    <xf numFmtId="43" fontId="5" fillId="0" borderId="2" xfId="1" applyFont="1" applyFill="1" applyBorder="1" applyAlignment="1">
      <alignment vertical="top"/>
    </xf>
    <xf numFmtId="0" fontId="24" fillId="0" borderId="2" xfId="0" applyFont="1" applyFill="1" applyBorder="1" applyAlignment="1">
      <alignment horizontal="center" vertical="top" wrapText="1"/>
    </xf>
    <xf numFmtId="0" fontId="4" fillId="0" borderId="11" xfId="0" applyFont="1" applyFill="1" applyBorder="1" applyAlignment="1">
      <alignment horizontal="center" vertical="top"/>
    </xf>
    <xf numFmtId="0" fontId="4" fillId="0" borderId="11" xfId="0" applyFont="1" applyFill="1" applyBorder="1" applyAlignment="1">
      <alignment horizontal="center" vertical="top" wrapText="1"/>
    </xf>
    <xf numFmtId="43" fontId="4" fillId="0" borderId="11" xfId="1" applyFont="1" applyFill="1" applyBorder="1" applyAlignment="1">
      <alignment vertical="top"/>
    </xf>
    <xf numFmtId="0" fontId="24" fillId="0" borderId="0" xfId="0" applyFont="1" applyFill="1" applyAlignment="1">
      <alignment horizontal="center" vertical="top" wrapText="1"/>
    </xf>
    <xf numFmtId="43" fontId="24" fillId="0" borderId="0" xfId="1" applyFont="1" applyFill="1" applyAlignment="1">
      <alignment vertical="top"/>
    </xf>
    <xf numFmtId="0" fontId="4" fillId="0" borderId="0" xfId="0" applyFont="1" applyFill="1" applyAlignment="1">
      <alignment horizontal="left" vertical="top"/>
    </xf>
    <xf numFmtId="0" fontId="24" fillId="0" borderId="0" xfId="0" applyFont="1" applyFill="1" applyAlignment="1">
      <alignment horizontal="left" vertical="top" wrapText="1"/>
    </xf>
    <xf numFmtId="49" fontId="24" fillId="0" borderId="0" xfId="0" quotePrefix="1" applyNumberFormat="1" applyFont="1" applyFill="1" applyAlignment="1">
      <alignment vertical="top"/>
    </xf>
    <xf numFmtId="49" fontId="24" fillId="0" borderId="0" xfId="0" quotePrefix="1" applyNumberFormat="1" applyFont="1" applyFill="1" applyAlignment="1">
      <alignment horizontal="center" vertical="top" wrapText="1"/>
    </xf>
    <xf numFmtId="0" fontId="2" fillId="0" borderId="1" xfId="0" applyFont="1" applyBorder="1" applyAlignment="1"/>
    <xf numFmtId="0" fontId="26" fillId="0" borderId="0" xfId="0" applyFont="1"/>
    <xf numFmtId="0" fontId="26" fillId="0" borderId="0" xfId="0" applyFont="1" applyAlignment="1">
      <alignment horizontal="center" wrapText="1"/>
    </xf>
    <xf numFmtId="187" fontId="26" fillId="0" borderId="0" xfId="0" applyNumberFormat="1" applyFont="1" applyAlignment="1">
      <alignment horizontal="center" wrapText="1"/>
    </xf>
    <xf numFmtId="0" fontId="26" fillId="0" borderId="0" xfId="0" applyFont="1" applyAlignment="1">
      <alignment horizontal="left" wrapText="1"/>
    </xf>
    <xf numFmtId="0" fontId="26" fillId="0" borderId="0" xfId="0" applyFont="1" applyAlignment="1">
      <alignment wrapText="1"/>
    </xf>
    <xf numFmtId="43" fontId="26" fillId="0" borderId="0" xfId="1" applyFont="1" applyAlignment="1">
      <alignment wrapText="1"/>
    </xf>
    <xf numFmtId="0" fontId="27" fillId="0" borderId="0" xfId="0" applyFont="1" applyAlignment="1">
      <alignment vertical="center" wrapText="1"/>
    </xf>
    <xf numFmtId="0" fontId="27" fillId="0" borderId="0" xfId="0" applyFont="1" applyAlignment="1">
      <alignment wrapText="1"/>
    </xf>
    <xf numFmtId="0" fontId="27" fillId="0" borderId="0" xfId="0" applyFont="1" applyAlignment="1">
      <alignment vertical="top" wrapText="1"/>
    </xf>
    <xf numFmtId="0" fontId="27" fillId="11" borderId="2" xfId="0" applyFont="1" applyFill="1" applyBorder="1" applyAlignment="1">
      <alignment horizontal="center" vertical="top" wrapText="1"/>
    </xf>
    <xf numFmtId="0" fontId="30" fillId="9" borderId="25" xfId="0" applyNumberFormat="1" applyFont="1" applyFill="1" applyBorder="1" applyAlignment="1">
      <alignment horizontal="left" vertical="center"/>
    </xf>
    <xf numFmtId="0" fontId="30" fillId="9" borderId="13" xfId="0" applyNumberFormat="1" applyFont="1" applyFill="1" applyBorder="1" applyAlignment="1">
      <alignment horizontal="center" vertical="center"/>
    </xf>
    <xf numFmtId="0" fontId="30" fillId="9" borderId="13" xfId="0" applyNumberFormat="1" applyFont="1" applyFill="1" applyBorder="1" applyAlignment="1">
      <alignment horizontal="left" vertical="center"/>
    </xf>
    <xf numFmtId="0" fontId="30" fillId="9" borderId="13" xfId="0" applyNumberFormat="1" applyFont="1" applyFill="1" applyBorder="1" applyAlignment="1">
      <alignment vertical="center"/>
    </xf>
    <xf numFmtId="43" fontId="30" fillId="9" borderId="2" xfId="1" applyFont="1" applyFill="1" applyBorder="1" applyAlignment="1">
      <alignment vertical="center"/>
    </xf>
    <xf numFmtId="0" fontId="26" fillId="0" borderId="26" xfId="0" applyFont="1" applyBorder="1" applyAlignment="1">
      <alignment horizontal="center" vertical="top" wrapText="1"/>
    </xf>
    <xf numFmtId="0" fontId="26" fillId="0" borderId="9" xfId="0" applyFont="1" applyBorder="1" applyAlignment="1">
      <alignment horizontal="center" vertical="top" wrapText="1" shrinkToFit="1"/>
    </xf>
    <xf numFmtId="0" fontId="26" fillId="0" borderId="9" xfId="0" applyFont="1" applyBorder="1" applyAlignment="1">
      <alignment horizontal="left" vertical="top" wrapText="1"/>
    </xf>
    <xf numFmtId="0" fontId="26" fillId="0" borderId="9" xfId="0" applyFont="1" applyBorder="1" applyAlignment="1">
      <alignment vertical="top" wrapText="1"/>
    </xf>
    <xf numFmtId="43" fontId="26" fillId="0" borderId="9" xfId="1" applyFont="1" applyBorder="1" applyAlignment="1">
      <alignment vertical="top" wrapText="1"/>
    </xf>
    <xf numFmtId="43" fontId="26" fillId="0" borderId="8" xfId="1" applyFont="1" applyBorder="1" applyAlignment="1">
      <alignment vertical="top" wrapText="1"/>
    </xf>
    <xf numFmtId="43" fontId="26" fillId="0" borderId="27" xfId="1" applyFont="1" applyBorder="1" applyAlignment="1">
      <alignment vertical="top" wrapText="1"/>
    </xf>
    <xf numFmtId="0" fontId="26" fillId="0" borderId="0" xfId="0" applyFont="1" applyAlignment="1">
      <alignment vertical="top" wrapText="1"/>
    </xf>
    <xf numFmtId="0" fontId="26" fillId="0" borderId="9" xfId="0" applyFont="1" applyBorder="1" applyAlignment="1">
      <alignment horizontal="center" vertical="top" shrinkToFit="1"/>
    </xf>
    <xf numFmtId="0" fontId="26" fillId="0" borderId="8" xfId="0" applyFont="1" applyBorder="1" applyAlignment="1">
      <alignment horizontal="center" vertical="top" wrapText="1" shrinkToFit="1"/>
    </xf>
    <xf numFmtId="0" fontId="26" fillId="0" borderId="8" xfId="0" applyFont="1" applyBorder="1" applyAlignment="1">
      <alignment horizontal="left" vertical="top" wrapText="1"/>
    </xf>
    <xf numFmtId="0" fontId="26" fillId="0" borderId="8" xfId="0" applyFont="1" applyBorder="1" applyAlignment="1">
      <alignment vertical="top" wrapText="1"/>
    </xf>
    <xf numFmtId="43" fontId="26" fillId="0" borderId="28" xfId="1" applyFont="1" applyBorder="1" applyAlignment="1">
      <alignment vertical="top" wrapText="1"/>
    </xf>
    <xf numFmtId="43" fontId="30" fillId="9" borderId="29" xfId="1" applyFont="1" applyFill="1" applyBorder="1" applyAlignment="1">
      <alignment vertical="center"/>
    </xf>
    <xf numFmtId="0" fontId="26" fillId="0" borderId="30" xfId="0" applyFont="1" applyBorder="1" applyAlignment="1">
      <alignment horizontal="center" vertical="top"/>
    </xf>
    <xf numFmtId="0" fontId="26" fillId="0" borderId="3" xfId="0" applyFont="1" applyBorder="1" applyAlignment="1">
      <alignment horizontal="center" vertical="top"/>
    </xf>
    <xf numFmtId="0" fontId="26" fillId="0" borderId="3" xfId="0" applyFont="1" applyBorder="1" applyAlignment="1">
      <alignment horizontal="left" vertical="top"/>
    </xf>
    <xf numFmtId="0" fontId="26" fillId="0" borderId="3" xfId="0" applyFont="1" applyBorder="1" applyAlignment="1">
      <alignment vertical="top" wrapText="1"/>
    </xf>
    <xf numFmtId="43" fontId="26" fillId="0" borderId="2" xfId="1" applyFont="1" applyBorder="1" applyAlignment="1">
      <alignment vertical="top"/>
    </xf>
    <xf numFmtId="43" fontId="26" fillId="0" borderId="29" xfId="1" applyFont="1" applyBorder="1" applyAlignment="1">
      <alignment vertical="top"/>
    </xf>
    <xf numFmtId="0" fontId="26" fillId="0" borderId="0" xfId="0" applyFont="1" applyAlignment="1">
      <alignment vertical="top"/>
    </xf>
    <xf numFmtId="43" fontId="27" fillId="0" borderId="34" xfId="1" applyFont="1" applyBorder="1" applyAlignment="1">
      <alignment vertical="center" shrinkToFit="1"/>
    </xf>
    <xf numFmtId="0" fontId="27" fillId="0" borderId="0" xfId="0" applyFont="1" applyAlignment="1">
      <alignment vertical="center"/>
    </xf>
    <xf numFmtId="43" fontId="32" fillId="0" borderId="0" xfId="1" applyFont="1" applyBorder="1" applyAlignment="1">
      <alignment vertical="center"/>
    </xf>
    <xf numFmtId="0" fontId="26" fillId="0" borderId="0" xfId="0" applyFont="1" applyAlignment="1">
      <alignment horizontal="center"/>
    </xf>
    <xf numFmtId="187" fontId="26" fillId="0" borderId="0" xfId="0" applyNumberFormat="1" applyFont="1" applyAlignment="1">
      <alignment horizontal="center"/>
    </xf>
    <xf numFmtId="0" fontId="26" fillId="0" borderId="0" xfId="0" applyFont="1" applyAlignment="1">
      <alignment horizontal="left"/>
    </xf>
    <xf numFmtId="43" fontId="26" fillId="0" borderId="0" xfId="1" applyFont="1"/>
    <xf numFmtId="0" fontId="26" fillId="0" borderId="8" xfId="0" applyFont="1" applyBorder="1" applyAlignment="1">
      <alignment horizontal="center" vertical="top" shrinkToFit="1"/>
    </xf>
    <xf numFmtId="14" fontId="26" fillId="0" borderId="0" xfId="0" applyNumberFormat="1" applyFont="1" applyAlignment="1">
      <alignment horizontal="center" wrapText="1"/>
    </xf>
    <xf numFmtId="14" fontId="30" fillId="9" borderId="13" xfId="0" applyNumberFormat="1" applyFont="1" applyFill="1" applyBorder="1" applyAlignment="1">
      <alignment horizontal="center" vertical="center"/>
    </xf>
    <xf numFmtId="14" fontId="26" fillId="0" borderId="9" xfId="0" applyNumberFormat="1" applyFont="1" applyBorder="1" applyAlignment="1">
      <alignment horizontal="center" vertical="top" shrinkToFit="1"/>
    </xf>
    <xf numFmtId="43" fontId="26" fillId="0" borderId="35" xfId="1" applyFont="1" applyBorder="1" applyAlignment="1">
      <alignment vertical="top" wrapText="1"/>
    </xf>
    <xf numFmtId="14" fontId="26" fillId="0" borderId="8" xfId="0" applyNumberFormat="1" applyFont="1" applyBorder="1" applyAlignment="1">
      <alignment horizontal="center" vertical="top" shrinkToFit="1"/>
    </xf>
    <xf numFmtId="43" fontId="26" fillId="0" borderId="28" xfId="1" applyFont="1" applyBorder="1" applyAlignment="1">
      <alignment horizontal="center" vertical="top" wrapText="1"/>
    </xf>
    <xf numFmtId="0" fontId="34" fillId="0" borderId="8" xfId="0" applyFont="1" applyBorder="1" applyAlignment="1">
      <alignment horizontal="center" vertical="top" wrapText="1" shrinkToFit="1"/>
    </xf>
    <xf numFmtId="0" fontId="26" fillId="0" borderId="36" xfId="0" applyFont="1" applyBorder="1" applyAlignment="1">
      <alignment horizontal="center" vertical="top" wrapText="1"/>
    </xf>
    <xf numFmtId="14" fontId="26" fillId="0" borderId="7" xfId="0" applyNumberFormat="1" applyFont="1" applyBorder="1" applyAlignment="1">
      <alignment horizontal="center" vertical="top" shrinkToFit="1"/>
    </xf>
    <xf numFmtId="0" fontId="26" fillId="0" borderId="7" xfId="0" applyFont="1" applyBorder="1" applyAlignment="1">
      <alignment horizontal="center" vertical="top" shrinkToFit="1"/>
    </xf>
    <xf numFmtId="0" fontId="26" fillId="0" borderId="7" xfId="0" applyFont="1" applyBorder="1" applyAlignment="1">
      <alignment horizontal="center" vertical="top" wrapText="1" shrinkToFit="1"/>
    </xf>
    <xf numFmtId="0" fontId="26" fillId="0" borderId="7" xfId="0" applyFont="1" applyBorder="1" applyAlignment="1">
      <alignment horizontal="left" vertical="top" wrapText="1"/>
    </xf>
    <xf numFmtId="0" fontId="26" fillId="0" borderId="7" xfId="0" applyFont="1" applyBorder="1" applyAlignment="1">
      <alignment vertical="top" wrapText="1"/>
    </xf>
    <xf numFmtId="43" fontId="26" fillId="0" borderId="7" xfId="1" applyFont="1" applyBorder="1" applyAlignment="1">
      <alignment vertical="top" wrapText="1"/>
    </xf>
    <xf numFmtId="0" fontId="26" fillId="0" borderId="8" xfId="0" applyFont="1" applyBorder="1" applyAlignment="1">
      <alignment horizontal="center" vertical="top" wrapText="1"/>
    </xf>
    <xf numFmtId="43" fontId="31" fillId="0" borderId="8" xfId="1" applyFont="1" applyBorder="1" applyAlignment="1">
      <alignment vertical="center"/>
    </xf>
    <xf numFmtId="43" fontId="31" fillId="0" borderId="8" xfId="1" applyFont="1" applyBorder="1" applyAlignment="1">
      <alignment vertical="top"/>
    </xf>
    <xf numFmtId="43" fontId="30" fillId="0" borderId="8" xfId="1" applyFont="1" applyBorder="1" applyAlignment="1">
      <alignment vertical="top"/>
    </xf>
    <xf numFmtId="43" fontId="35" fillId="0" borderId="8" xfId="1" applyFont="1" applyBorder="1" applyAlignment="1">
      <alignment vertical="top"/>
    </xf>
    <xf numFmtId="14" fontId="26" fillId="0" borderId="3" xfId="0" applyNumberFormat="1" applyFont="1" applyBorder="1" applyAlignment="1">
      <alignment horizontal="center" vertical="top"/>
    </xf>
    <xf numFmtId="43" fontId="27" fillId="12" borderId="34" xfId="1" applyFont="1" applyFill="1" applyBorder="1" applyAlignment="1">
      <alignment vertical="center" shrinkToFit="1"/>
    </xf>
    <xf numFmtId="14" fontId="26" fillId="0" borderId="0" xfId="0" applyNumberFormat="1" applyFont="1" applyAlignment="1">
      <alignment horizontal="center"/>
    </xf>
    <xf numFmtId="49" fontId="27" fillId="0" borderId="0" xfId="0" applyNumberFormat="1" applyFont="1" applyAlignment="1">
      <alignment horizontal="center"/>
    </xf>
    <xf numFmtId="0" fontId="27" fillId="0" borderId="0" xfId="0" applyFont="1" applyAlignment="1">
      <alignment horizontal="center"/>
    </xf>
    <xf numFmtId="0" fontId="27" fillId="0" borderId="0" xfId="0" applyFont="1"/>
    <xf numFmtId="43" fontId="27" fillId="0" borderId="0" xfId="1" applyFont="1"/>
    <xf numFmtId="43" fontId="27" fillId="0" borderId="0" xfId="0" applyNumberFormat="1" applyFont="1" applyAlignment="1">
      <alignment shrinkToFit="1"/>
    </xf>
    <xf numFmtId="43" fontId="27" fillId="0" borderId="37" xfId="0" applyNumberFormat="1" applyFont="1" applyBorder="1" applyAlignment="1">
      <alignment shrinkToFit="1"/>
    </xf>
    <xf numFmtId="0" fontId="37" fillId="0" borderId="38" xfId="3" applyFont="1" applyBorder="1" applyAlignment="1">
      <alignment horizontal="left" vertical="top"/>
    </xf>
    <xf numFmtId="0" fontId="37" fillId="0" borderId="39" xfId="3" applyFont="1" applyBorder="1" applyAlignment="1">
      <alignment horizontal="center" vertical="top"/>
    </xf>
    <xf numFmtId="0" fontId="37" fillId="0" borderId="39" xfId="3" applyFont="1" applyBorder="1" applyAlignment="1">
      <alignment vertical="top"/>
    </xf>
    <xf numFmtId="0" fontId="37" fillId="0" borderId="39" xfId="3" applyFont="1" applyBorder="1">
      <alignment vertical="top"/>
    </xf>
    <xf numFmtId="0" fontId="15" fillId="0" borderId="40" xfId="0" applyFont="1" applyBorder="1"/>
    <xf numFmtId="0" fontId="38" fillId="0" borderId="41" xfId="3" applyFont="1" applyBorder="1" applyAlignment="1">
      <alignment horizontal="left" vertical="top"/>
    </xf>
    <xf numFmtId="0" fontId="37" fillId="0" borderId="0" xfId="3" applyFont="1" applyBorder="1" applyAlignment="1">
      <alignment horizontal="center" vertical="top"/>
    </xf>
    <xf numFmtId="0" fontId="37" fillId="0" borderId="0" xfId="3" applyFont="1" applyBorder="1" applyAlignment="1">
      <alignment vertical="top"/>
    </xf>
    <xf numFmtId="0" fontId="37" fillId="0" borderId="0" xfId="3" applyFont="1" applyBorder="1">
      <alignment vertical="top"/>
    </xf>
    <xf numFmtId="0" fontId="15" fillId="0" borderId="42" xfId="0" applyFont="1" applyBorder="1"/>
    <xf numFmtId="0" fontId="37" fillId="0" borderId="41" xfId="3" applyFont="1" applyBorder="1" applyAlignment="1">
      <alignment horizontal="left" vertical="top"/>
    </xf>
    <xf numFmtId="43" fontId="37" fillId="0" borderId="0" xfId="3" applyNumberFormat="1" applyFont="1" applyBorder="1">
      <alignment vertical="top"/>
    </xf>
    <xf numFmtId="0" fontId="37" fillId="0" borderId="41" xfId="3" applyFont="1" applyBorder="1" applyAlignment="1">
      <alignment horizontal="center" vertical="top"/>
    </xf>
    <xf numFmtId="0" fontId="38" fillId="0" borderId="0" xfId="3" applyFont="1" applyBorder="1" applyAlignment="1">
      <alignment horizontal="left" vertical="top"/>
    </xf>
    <xf numFmtId="0" fontId="37" fillId="0" borderId="43" xfId="3" applyFont="1" applyBorder="1" applyAlignment="1">
      <alignment horizontal="left" vertical="top"/>
    </xf>
    <xf numFmtId="0" fontId="37" fillId="0" borderId="44" xfId="3" applyFont="1" applyBorder="1" applyAlignment="1">
      <alignment horizontal="center" vertical="top"/>
    </xf>
    <xf numFmtId="0" fontId="37" fillId="0" borderId="44" xfId="3" applyFont="1" applyBorder="1" applyAlignment="1">
      <alignment vertical="top"/>
    </xf>
    <xf numFmtId="0" fontId="37" fillId="0" borderId="44" xfId="3" applyFont="1" applyBorder="1">
      <alignment vertical="top"/>
    </xf>
    <xf numFmtId="0" fontId="15" fillId="0" borderId="45" xfId="0" applyFont="1" applyBorder="1"/>
    <xf numFmtId="49" fontId="3" fillId="0" borderId="0" xfId="0" quotePrefix="1" applyNumberFormat="1" applyFont="1" applyAlignment="1">
      <alignment horizontal="left"/>
    </xf>
    <xf numFmtId="0" fontId="39" fillId="0" borderId="0" xfId="0" applyFont="1"/>
    <xf numFmtId="0" fontId="3" fillId="0" borderId="0" xfId="0" applyFont="1" applyAlignment="1">
      <alignment horizontal="center" wrapText="1"/>
    </xf>
    <xf numFmtId="43" fontId="3" fillId="0" borderId="0" xfId="1" applyFont="1" applyAlignment="1">
      <alignment wrapText="1"/>
    </xf>
    <xf numFmtId="0" fontId="3" fillId="0" borderId="0" xfId="0" applyFont="1" applyAlignment="1">
      <alignment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41" fillId="19" borderId="2" xfId="0" applyFont="1" applyFill="1" applyBorder="1" applyAlignment="1">
      <alignment horizontal="center" vertical="top" wrapText="1"/>
    </xf>
    <xf numFmtId="0" fontId="41" fillId="2"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188" fontId="3" fillId="0" borderId="2" xfId="1" applyNumberFormat="1" applyFont="1" applyFill="1" applyBorder="1" applyAlignment="1">
      <alignment horizontal="right" vertical="center" wrapText="1"/>
    </xf>
    <xf numFmtId="0" fontId="3" fillId="0" borderId="0" xfId="0" applyFont="1" applyFill="1" applyAlignment="1">
      <alignment vertical="center" wrapText="1"/>
    </xf>
    <xf numFmtId="0" fontId="3" fillId="0" borderId="2" xfId="0" applyFont="1" applyFill="1" applyBorder="1" applyAlignment="1">
      <alignment horizontal="center" vertical="center"/>
    </xf>
    <xf numFmtId="188" fontId="3" fillId="0" borderId="2" xfId="1" applyNumberFormat="1" applyFont="1" applyFill="1" applyBorder="1" applyAlignment="1">
      <alignment horizontal="right" vertical="center"/>
    </xf>
    <xf numFmtId="0" fontId="3" fillId="0" borderId="0" xfId="0" applyFont="1" applyFill="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88" fontId="3" fillId="0" borderId="2" xfId="1" applyNumberFormat="1" applyFont="1" applyBorder="1" applyAlignment="1">
      <alignment horizontal="right" vertical="center"/>
    </xf>
    <xf numFmtId="0" fontId="3" fillId="0" borderId="0" xfId="0" applyFont="1" applyAlignment="1">
      <alignment vertical="center"/>
    </xf>
    <xf numFmtId="188" fontId="2" fillId="14" borderId="11" xfId="1" applyNumberFormat="1" applyFont="1" applyFill="1" applyBorder="1" applyAlignment="1">
      <alignment horizontal="right" shrinkToFit="1"/>
    </xf>
    <xf numFmtId="188" fontId="2" fillId="17" borderId="11" xfId="1" applyNumberFormat="1" applyFont="1" applyFill="1" applyBorder="1" applyAlignment="1">
      <alignment horizontal="right" shrinkToFit="1"/>
    </xf>
    <xf numFmtId="188" fontId="2" fillId="18" borderId="11" xfId="1" applyNumberFormat="1" applyFont="1" applyFill="1" applyBorder="1" applyAlignment="1">
      <alignment horizontal="right" shrinkToFit="1"/>
    </xf>
    <xf numFmtId="188" fontId="2" fillId="16" borderId="11" xfId="1" applyNumberFormat="1" applyFont="1" applyFill="1" applyBorder="1" applyAlignment="1">
      <alignment horizontal="right" shrinkToFit="1"/>
    </xf>
    <xf numFmtId="0" fontId="3" fillId="0" borderId="0" xfId="0" applyFont="1" applyAlignment="1"/>
    <xf numFmtId="0" fontId="44" fillId="0" borderId="0" xfId="0" applyFont="1" applyAlignment="1">
      <alignment horizontal="center"/>
    </xf>
    <xf numFmtId="43" fontId="44" fillId="0" borderId="0" xfId="1" applyFont="1"/>
    <xf numFmtId="0" fontId="44" fillId="0" borderId="0" xfId="0" applyFont="1"/>
    <xf numFmtId="0" fontId="44" fillId="0" borderId="0" xfId="0" applyFont="1" applyBorder="1" applyAlignment="1">
      <alignment horizontal="center" vertical="center"/>
    </xf>
    <xf numFmtId="43" fontId="44" fillId="0" borderId="0" xfId="1" applyFont="1" applyBorder="1" applyAlignment="1">
      <alignment vertical="center"/>
    </xf>
    <xf numFmtId="0" fontId="46" fillId="0" borderId="0" xfId="0" applyFont="1"/>
    <xf numFmtId="0" fontId="46" fillId="0" borderId="0" xfId="0" applyFont="1" applyAlignment="1">
      <alignment horizontal="center" wrapText="1"/>
    </xf>
    <xf numFmtId="187" fontId="46" fillId="0" borderId="0" xfId="0" applyNumberFormat="1" applyFont="1" applyAlignment="1">
      <alignment horizontal="center" wrapText="1"/>
    </xf>
    <xf numFmtId="0" fontId="46" fillId="0" borderId="0" xfId="0" applyFont="1" applyAlignment="1">
      <alignment horizontal="left" wrapText="1"/>
    </xf>
    <xf numFmtId="0" fontId="46" fillId="0" borderId="0" xfId="0" applyFont="1" applyAlignment="1">
      <alignment wrapText="1"/>
    </xf>
    <xf numFmtId="43" fontId="46" fillId="0" borderId="0" xfId="1" applyFont="1" applyAlignment="1">
      <alignment wrapText="1"/>
    </xf>
    <xf numFmtId="0" fontId="47" fillId="0" borderId="0" xfId="0" applyFont="1" applyAlignment="1">
      <alignment vertical="center" wrapText="1"/>
    </xf>
    <xf numFmtId="0" fontId="47" fillId="0" borderId="0" xfId="0" applyFont="1" applyAlignment="1">
      <alignment wrapText="1"/>
    </xf>
    <xf numFmtId="0" fontId="47" fillId="0" borderId="0" xfId="0" applyFont="1" applyAlignment="1">
      <alignment vertical="top" wrapText="1"/>
    </xf>
    <xf numFmtId="0" fontId="47" fillId="19" borderId="2" xfId="0" applyFont="1" applyFill="1" applyBorder="1" applyAlignment="1">
      <alignment horizontal="center" vertical="top" wrapText="1"/>
    </xf>
    <xf numFmtId="0" fontId="47" fillId="2" borderId="2" xfId="0" applyFont="1" applyFill="1" applyBorder="1" applyAlignment="1">
      <alignment horizontal="center" vertical="top" wrapText="1"/>
    </xf>
    <xf numFmtId="0" fontId="47" fillId="20" borderId="46" xfId="0" applyFont="1" applyFill="1" applyBorder="1" applyAlignment="1">
      <alignment horizontal="left" vertical="center"/>
    </xf>
    <xf numFmtId="187" fontId="47" fillId="20" borderId="2" xfId="0" applyNumberFormat="1" applyFont="1" applyFill="1" applyBorder="1" applyAlignment="1">
      <alignment horizontal="center" vertical="center" wrapText="1"/>
    </xf>
    <xf numFmtId="0" fontId="47" fillId="20" borderId="2" xfId="0" applyFont="1" applyFill="1" applyBorder="1" applyAlignment="1">
      <alignment horizontal="center" vertical="center" wrapText="1"/>
    </xf>
    <xf numFmtId="0" fontId="47" fillId="20" borderId="6" xfId="0" applyFont="1" applyFill="1" applyBorder="1" applyAlignment="1">
      <alignment horizontal="center" vertical="center" wrapText="1"/>
    </xf>
    <xf numFmtId="43" fontId="47" fillId="20" borderId="2" xfId="1" applyFont="1" applyFill="1" applyBorder="1" applyAlignment="1">
      <alignment horizontal="center" vertical="center" wrapText="1"/>
    </xf>
    <xf numFmtId="0" fontId="47" fillId="0" borderId="0" xfId="0" applyFont="1" applyFill="1" applyAlignment="1">
      <alignment vertical="center" wrapText="1"/>
    </xf>
    <xf numFmtId="0" fontId="47" fillId="0" borderId="0" xfId="0" applyFont="1" applyFill="1" applyAlignment="1">
      <alignment wrapText="1"/>
    </xf>
    <xf numFmtId="0" fontId="46" fillId="0" borderId="2" xfId="0" applyFont="1" applyFill="1" applyBorder="1" applyAlignment="1">
      <alignment horizontal="center" vertical="top"/>
    </xf>
    <xf numFmtId="187" fontId="46" fillId="0" borderId="2" xfId="0" applyNumberFormat="1" applyFont="1" applyFill="1" applyBorder="1" applyAlignment="1">
      <alignment horizontal="center" vertical="top" shrinkToFit="1"/>
    </xf>
    <xf numFmtId="0" fontId="46" fillId="0" borderId="2" xfId="0" applyFont="1" applyFill="1" applyBorder="1" applyAlignment="1">
      <alignment horizontal="center" vertical="top" shrinkToFit="1"/>
    </xf>
    <xf numFmtId="0" fontId="46" fillId="0" borderId="2" xfId="0" applyFont="1" applyFill="1" applyBorder="1" applyAlignment="1">
      <alignment horizontal="left" vertical="top"/>
    </xf>
    <xf numFmtId="0" fontId="46" fillId="0" borderId="2" xfId="0" applyFont="1" applyFill="1" applyBorder="1" applyAlignment="1">
      <alignment horizontal="left" vertical="top" wrapText="1"/>
    </xf>
    <xf numFmtId="0" fontId="46" fillId="0" borderId="2" xfId="0" applyFont="1" applyFill="1" applyBorder="1" applyAlignment="1">
      <alignment vertical="top" wrapText="1"/>
    </xf>
    <xf numFmtId="43" fontId="46" fillId="0" borderId="2" xfId="1" applyFont="1" applyFill="1" applyBorder="1" applyAlignment="1">
      <alignment vertical="top"/>
    </xf>
    <xf numFmtId="0" fontId="46" fillId="0" borderId="0" xfId="0" applyFont="1" applyFill="1" applyAlignment="1">
      <alignment vertical="top"/>
    </xf>
    <xf numFmtId="0" fontId="46" fillId="0" borderId="0" xfId="0" applyFont="1" applyFill="1" applyAlignment="1"/>
    <xf numFmtId="43" fontId="52" fillId="0" borderId="2" xfId="1" applyFont="1" applyFill="1" applyBorder="1" applyAlignment="1">
      <alignment horizontal="center" vertical="top"/>
    </xf>
    <xf numFmtId="0" fontId="47" fillId="20" borderId="2" xfId="0" applyFont="1" applyFill="1" applyBorder="1" applyAlignment="1">
      <alignment horizontal="left" vertical="top"/>
    </xf>
    <xf numFmtId="187" fontId="47" fillId="20" borderId="2" xfId="0" applyNumberFormat="1" applyFont="1" applyFill="1" applyBorder="1" applyAlignment="1">
      <alignment horizontal="center" vertical="top" shrinkToFit="1"/>
    </xf>
    <xf numFmtId="0" fontId="47" fillId="20" borderId="2" xfId="0" applyFont="1" applyFill="1" applyBorder="1" applyAlignment="1">
      <alignment horizontal="center" vertical="top" shrinkToFit="1"/>
    </xf>
    <xf numFmtId="0" fontId="47" fillId="20" borderId="2" xfId="0" applyFont="1" applyFill="1" applyBorder="1" applyAlignment="1">
      <alignment horizontal="center" vertical="top"/>
    </xf>
    <xf numFmtId="0" fontId="47" fillId="20" borderId="2" xfId="0" applyFont="1" applyFill="1" applyBorder="1" applyAlignment="1">
      <alignment horizontal="left" vertical="top" wrapText="1"/>
    </xf>
    <xf numFmtId="0" fontId="47" fillId="20" borderId="2" xfId="0" applyFont="1" applyFill="1" applyBorder="1" applyAlignment="1">
      <alignment vertical="top" wrapText="1"/>
    </xf>
    <xf numFmtId="43" fontId="47" fillId="20" borderId="2" xfId="1" applyFont="1" applyFill="1" applyBorder="1" applyAlignment="1">
      <alignment vertical="top"/>
    </xf>
    <xf numFmtId="43" fontId="54" fillId="0" borderId="2" xfId="1" applyFont="1" applyFill="1" applyBorder="1" applyAlignment="1">
      <alignment horizontal="center" vertical="top"/>
    </xf>
    <xf numFmtId="43" fontId="47" fillId="0" borderId="11" xfId="1" applyFont="1" applyFill="1" applyBorder="1" applyAlignment="1">
      <alignment shrinkToFit="1"/>
    </xf>
    <xf numFmtId="0" fontId="47" fillId="0" borderId="0" xfId="0" applyFont="1" applyFill="1" applyAlignment="1"/>
    <xf numFmtId="0" fontId="46" fillId="0" borderId="0" xfId="0" applyFont="1" applyAlignment="1">
      <alignment horizontal="center"/>
    </xf>
    <xf numFmtId="187" fontId="46" fillId="0" borderId="0" xfId="0" applyNumberFormat="1" applyFont="1" applyAlignment="1">
      <alignment horizontal="center"/>
    </xf>
    <xf numFmtId="0" fontId="46" fillId="0" borderId="0" xfId="0" applyFont="1" applyAlignment="1">
      <alignment horizontal="left"/>
    </xf>
    <xf numFmtId="43" fontId="46" fillId="0" borderId="0" xfId="1" applyFont="1"/>
    <xf numFmtId="43" fontId="57" fillId="0" borderId="0" xfId="1" applyFont="1" applyBorder="1" applyAlignment="1">
      <alignment vertical="center"/>
    </xf>
    <xf numFmtId="0" fontId="58" fillId="0" borderId="2" xfId="0" applyFont="1" applyFill="1" applyBorder="1" applyAlignment="1">
      <alignment horizontal="center" vertical="top"/>
    </xf>
    <xf numFmtId="0" fontId="24" fillId="0" borderId="0" xfId="0" applyFont="1" applyFill="1" applyAlignment="1">
      <alignment horizontal="left"/>
    </xf>
    <xf numFmtId="43" fontId="46" fillId="0" borderId="0" xfId="0" applyNumberFormat="1" applyFont="1" applyAlignment="1">
      <alignment wrapText="1"/>
    </xf>
    <xf numFmtId="0" fontId="58" fillId="0" borderId="2" xfId="0" applyFont="1" applyFill="1" applyBorder="1" applyAlignment="1">
      <alignment horizontal="left" vertical="top" wrapText="1"/>
    </xf>
    <xf numFmtId="0" fontId="58" fillId="0" borderId="2" xfId="0" applyFont="1" applyFill="1" applyBorder="1" applyAlignment="1">
      <alignment vertical="top" wrapText="1"/>
    </xf>
    <xf numFmtId="0" fontId="58" fillId="0" borderId="0" xfId="0" applyFont="1" applyFill="1" applyAlignment="1">
      <alignment vertical="top"/>
    </xf>
    <xf numFmtId="187" fontId="58" fillId="0" borderId="2" xfId="0" applyNumberFormat="1" applyFont="1" applyFill="1" applyBorder="1" applyAlignment="1">
      <alignment horizontal="center" vertical="top" shrinkToFit="1"/>
    </xf>
    <xf numFmtId="0" fontId="58" fillId="0" borderId="2" xfId="0" applyFont="1" applyFill="1" applyBorder="1" applyAlignment="1">
      <alignment horizontal="center" vertical="top" wrapText="1" shrinkToFit="1"/>
    </xf>
    <xf numFmtId="43" fontId="58" fillId="0" borderId="2" xfId="1" applyFont="1" applyFill="1" applyBorder="1" applyAlignment="1">
      <alignment vertical="top" wrapText="1"/>
    </xf>
    <xf numFmtId="43" fontId="3" fillId="0" borderId="0" xfId="1" applyFont="1" applyFill="1" applyAlignment="1">
      <alignment vertical="center" wrapText="1"/>
    </xf>
    <xf numFmtId="43" fontId="3" fillId="0" borderId="0" xfId="1" applyFont="1" applyFill="1" applyAlignment="1">
      <alignment vertical="center"/>
    </xf>
    <xf numFmtId="43" fontId="3" fillId="0" borderId="0" xfId="1" applyFont="1" applyAlignment="1">
      <alignment vertical="center"/>
    </xf>
    <xf numFmtId="43" fontId="3" fillId="0" borderId="0" xfId="1" applyFont="1" applyAlignment="1"/>
    <xf numFmtId="0" fontId="46" fillId="0" borderId="0" xfId="0" applyFont="1" applyAlignment="1"/>
    <xf numFmtId="0" fontId="47" fillId="0" borderId="0" xfId="0" applyFont="1" applyAlignment="1">
      <alignment vertical="center"/>
    </xf>
    <xf numFmtId="0" fontId="47" fillId="0" borderId="0" xfId="0" applyFont="1" applyAlignment="1"/>
    <xf numFmtId="0" fontId="47" fillId="0" borderId="0" xfId="0" applyFont="1" applyAlignment="1">
      <alignment vertical="top"/>
    </xf>
    <xf numFmtId="0" fontId="47" fillId="21" borderId="2" xfId="0" applyFont="1" applyFill="1" applyBorder="1" applyAlignment="1">
      <alignment horizontal="left" vertical="top"/>
    </xf>
    <xf numFmtId="187" fontId="47" fillId="21" borderId="2" xfId="0" applyNumberFormat="1" applyFont="1" applyFill="1" applyBorder="1" applyAlignment="1">
      <alignment horizontal="center" vertical="top" shrinkToFit="1"/>
    </xf>
    <xf numFmtId="0" fontId="47" fillId="21" borderId="2" xfId="0" applyFont="1" applyFill="1" applyBorder="1" applyAlignment="1">
      <alignment horizontal="center" vertical="top" wrapText="1" shrinkToFit="1"/>
    </xf>
    <xf numFmtId="0" fontId="47" fillId="21" borderId="2" xfId="0" applyFont="1" applyFill="1" applyBorder="1" applyAlignment="1">
      <alignment horizontal="left" vertical="top" wrapText="1"/>
    </xf>
    <xf numFmtId="0" fontId="47" fillId="21" borderId="2" xfId="0" applyFont="1" applyFill="1" applyBorder="1" applyAlignment="1">
      <alignment vertical="top" wrapText="1"/>
    </xf>
    <xf numFmtId="43" fontId="47" fillId="21" borderId="2" xfId="1" applyFont="1" applyFill="1" applyBorder="1" applyAlignment="1">
      <alignment vertical="top" wrapText="1"/>
    </xf>
    <xf numFmtId="43" fontId="47" fillId="21" borderId="2" xfId="1" applyFont="1" applyFill="1" applyBorder="1" applyAlignment="1">
      <alignment vertical="top"/>
    </xf>
    <xf numFmtId="0" fontId="47" fillId="0" borderId="0" xfId="0" applyFont="1" applyFill="1" applyAlignment="1">
      <alignment vertical="top"/>
    </xf>
    <xf numFmtId="0" fontId="46" fillId="0" borderId="2" xfId="0" applyFont="1" applyFill="1" applyBorder="1" applyAlignment="1">
      <alignment horizontal="center" vertical="top" wrapText="1" shrinkToFit="1"/>
    </xf>
    <xf numFmtId="43" fontId="46" fillId="0" borderId="2" xfId="1" applyFont="1" applyFill="1" applyBorder="1" applyAlignment="1">
      <alignment vertical="top" wrapText="1"/>
    </xf>
    <xf numFmtId="43" fontId="52" fillId="0" borderId="2" xfId="1" applyFont="1" applyFill="1" applyBorder="1" applyAlignment="1">
      <alignment horizontal="center" vertical="top" wrapText="1"/>
    </xf>
    <xf numFmtId="0" fontId="54" fillId="0" borderId="2" xfId="0" applyFont="1" applyFill="1" applyBorder="1" applyAlignment="1">
      <alignment horizontal="center" vertical="top" wrapText="1" shrinkToFit="1"/>
    </xf>
    <xf numFmtId="188" fontId="47" fillId="0" borderId="11" xfId="1" applyNumberFormat="1" applyFont="1" applyFill="1" applyBorder="1" applyAlignment="1">
      <alignment wrapText="1" shrinkToFit="1"/>
    </xf>
    <xf numFmtId="188" fontId="47" fillId="0" borderId="11" xfId="1" applyNumberFormat="1" applyFont="1" applyFill="1" applyBorder="1" applyAlignment="1">
      <alignment shrinkToFit="1"/>
    </xf>
    <xf numFmtId="43" fontId="46" fillId="0" borderId="0" xfId="0" applyNumberFormat="1" applyFont="1" applyAlignment="1"/>
    <xf numFmtId="0" fontId="47" fillId="19" borderId="3" xfId="0" applyFont="1" applyFill="1" applyBorder="1" applyAlignment="1">
      <alignment horizontal="center" vertical="top" wrapText="1"/>
    </xf>
    <xf numFmtId="0" fontId="47" fillId="2" borderId="3" xfId="0" applyFont="1" applyFill="1" applyBorder="1" applyAlignment="1">
      <alignment horizontal="center" vertical="top" wrapText="1"/>
    </xf>
    <xf numFmtId="0" fontId="62" fillId="0" borderId="0" xfId="0" applyFont="1" applyFill="1" applyAlignment="1"/>
    <xf numFmtId="0" fontId="24" fillId="0" borderId="0" xfId="0" applyFont="1" applyAlignment="1">
      <alignment horizontal="center"/>
    </xf>
    <xf numFmtId="49" fontId="4" fillId="22" borderId="2" xfId="0" applyNumberFormat="1" applyFont="1" applyFill="1" applyBorder="1" applyAlignment="1">
      <alignment horizontal="center" vertical="center"/>
    </xf>
    <xf numFmtId="43" fontId="4" fillId="0" borderId="2" xfId="1" applyNumberFormat="1" applyFont="1" applyFill="1" applyBorder="1" applyAlignment="1" applyProtection="1">
      <alignment horizontal="left"/>
    </xf>
    <xf numFmtId="0" fontId="24" fillId="0" borderId="0" xfId="0" applyFont="1" applyFill="1" applyAlignment="1"/>
    <xf numFmtId="0" fontId="3" fillId="0" borderId="12" xfId="0" applyFont="1" applyFill="1" applyBorder="1" applyAlignment="1">
      <alignment horizontal="left" vertical="center"/>
    </xf>
    <xf numFmtId="43" fontId="24" fillId="0" borderId="3" xfId="1" applyFont="1" applyFill="1" applyBorder="1" applyAlignment="1">
      <alignment vertical="top"/>
    </xf>
    <xf numFmtId="43" fontId="4" fillId="0" borderId="11" xfId="1" applyNumberFormat="1" applyFont="1" applyBorder="1" applyAlignment="1" applyProtection="1"/>
    <xf numFmtId="43" fontId="4" fillId="14" borderId="11" xfId="1" applyNumberFormat="1" applyFont="1" applyFill="1" applyBorder="1" applyAlignment="1" applyProtection="1"/>
    <xf numFmtId="0" fontId="4" fillId="0" borderId="0" xfId="0" applyFont="1" applyAlignment="1"/>
    <xf numFmtId="0" fontId="4" fillId="0" borderId="0" xfId="0" applyFont="1" applyBorder="1" applyAlignment="1" applyProtection="1">
      <alignment horizontal="center"/>
    </xf>
    <xf numFmtId="43" fontId="4" fillId="0" borderId="0" xfId="1" applyNumberFormat="1" applyFont="1" applyBorder="1" applyAlignment="1" applyProtection="1"/>
    <xf numFmtId="0" fontId="63" fillId="0" borderId="0" xfId="0" applyFont="1" applyFill="1" applyAlignment="1"/>
    <xf numFmtId="0" fontId="63" fillId="0" borderId="0" xfId="0" applyFont="1" applyFill="1" applyAlignment="1">
      <alignment horizontal="left"/>
    </xf>
    <xf numFmtId="0" fontId="63" fillId="0" borderId="0" xfId="0" applyFont="1" applyFill="1" applyAlignment="1">
      <alignment horizontal="center"/>
    </xf>
    <xf numFmtId="0" fontId="3" fillId="0" borderId="5" xfId="0" applyFont="1" applyBorder="1" applyAlignment="1">
      <alignment horizontal="left" vertical="center"/>
    </xf>
    <xf numFmtId="188" fontId="3" fillId="0" borderId="3" xfId="1" applyNumberFormat="1" applyFont="1" applyBorder="1" applyAlignment="1">
      <alignment horizontal="right" vertical="center"/>
    </xf>
    <xf numFmtId="188" fontId="3" fillId="0" borderId="3" xfId="1" applyNumberFormat="1" applyFont="1" applyFill="1" applyBorder="1" applyAlignment="1">
      <alignment horizontal="right" vertical="center" wrapText="1"/>
    </xf>
    <xf numFmtId="0" fontId="24" fillId="0" borderId="2" xfId="0" applyFont="1" applyBorder="1" applyAlignment="1">
      <alignment horizontal="left" vertical="center"/>
    </xf>
    <xf numFmtId="188" fontId="24" fillId="0" borderId="2" xfId="1" applyNumberFormat="1" applyFont="1" applyBorder="1" applyAlignment="1">
      <alignment horizontal="right" vertical="center"/>
    </xf>
    <xf numFmtId="188" fontId="24" fillId="0" borderId="2" xfId="1" applyNumberFormat="1" applyFont="1" applyFill="1" applyBorder="1" applyAlignment="1">
      <alignment horizontal="right" vertical="center" wrapText="1"/>
    </xf>
    <xf numFmtId="0" fontId="24" fillId="0" borderId="0" xfId="0" applyFont="1" applyAlignment="1">
      <alignment vertical="center"/>
    </xf>
    <xf numFmtId="0" fontId="24" fillId="0" borderId="2" xfId="0" applyFont="1" applyFill="1" applyBorder="1" applyAlignment="1">
      <alignment horizontal="left" vertical="center"/>
    </xf>
    <xf numFmtId="188" fontId="24" fillId="0" borderId="2" xfId="1" applyNumberFormat="1" applyFont="1" applyFill="1" applyBorder="1" applyAlignment="1">
      <alignment horizontal="right" vertical="center"/>
    </xf>
    <xf numFmtId="0" fontId="24" fillId="0" borderId="0" xfId="0" applyFont="1" applyFill="1" applyAlignment="1">
      <alignment vertical="center"/>
    </xf>
    <xf numFmtId="0" fontId="64" fillId="0" borderId="0" xfId="0" applyFont="1" applyAlignment="1">
      <alignment wrapText="1"/>
    </xf>
    <xf numFmtId="0" fontId="41" fillId="2" borderId="3" xfId="0" applyFont="1" applyFill="1" applyBorder="1" applyAlignment="1">
      <alignment horizontal="center" vertical="top" wrapText="1"/>
    </xf>
    <xf numFmtId="43" fontId="24" fillId="0" borderId="0" xfId="1" applyFont="1" applyFill="1" applyAlignment="1"/>
    <xf numFmtId="43" fontId="24" fillId="0" borderId="0" xfId="0" applyNumberFormat="1" applyFont="1" applyFill="1" applyAlignment="1"/>
    <xf numFmtId="43" fontId="4" fillId="0" borderId="0" xfId="1" applyFont="1" applyAlignment="1"/>
    <xf numFmtId="0" fontId="46" fillId="0" borderId="2" xfId="0" applyFont="1" applyBorder="1" applyAlignment="1">
      <alignment horizontal="left" vertical="top" wrapText="1"/>
    </xf>
    <xf numFmtId="0" fontId="46" fillId="0" borderId="2" xfId="0" applyFont="1" applyBorder="1" applyAlignment="1">
      <alignment vertical="top" wrapText="1"/>
    </xf>
    <xf numFmtId="0" fontId="57" fillId="0" borderId="0" xfId="0" applyFont="1" applyBorder="1" applyAlignment="1">
      <alignment horizontal="center" vertical="center"/>
    </xf>
    <xf numFmtId="187" fontId="46" fillId="0" borderId="2" xfId="0" applyNumberFormat="1" applyFont="1" applyBorder="1" applyAlignment="1">
      <alignment horizontal="center" vertical="top" shrinkToFit="1"/>
    </xf>
    <xf numFmtId="0" fontId="46" fillId="0" borderId="2" xfId="0" applyFont="1" applyBorder="1" applyAlignment="1">
      <alignment horizontal="center" vertical="top" wrapText="1"/>
    </xf>
    <xf numFmtId="0" fontId="46" fillId="0" borderId="2" xfId="0" applyFont="1" applyBorder="1" applyAlignment="1">
      <alignment horizontal="center" vertical="top" wrapText="1" shrinkToFit="1"/>
    </xf>
    <xf numFmtId="0" fontId="46" fillId="0" borderId="0" xfId="0" applyFont="1" applyAlignment="1">
      <alignment vertical="top" wrapText="1"/>
    </xf>
    <xf numFmtId="0" fontId="54" fillId="21" borderId="2" xfId="0" applyFont="1" applyFill="1" applyBorder="1" applyAlignment="1">
      <alignment horizontal="left" vertical="top"/>
    </xf>
    <xf numFmtId="0" fontId="58" fillId="0" borderId="2" xfId="0" applyFont="1" applyBorder="1" applyAlignment="1">
      <alignment horizontal="center" vertical="top" wrapText="1" shrinkToFit="1"/>
    </xf>
    <xf numFmtId="0" fontId="58" fillId="0" borderId="2" xfId="0" applyFont="1" applyBorder="1" applyAlignment="1">
      <alignment horizontal="left" vertical="top" wrapText="1"/>
    </xf>
    <xf numFmtId="0" fontId="58" fillId="0" borderId="2" xfId="0" applyFont="1" applyBorder="1" applyAlignment="1">
      <alignment vertical="top" wrapText="1"/>
    </xf>
    <xf numFmtId="0" fontId="54" fillId="21" borderId="2" xfId="0" applyFont="1" applyFill="1" applyBorder="1" applyAlignment="1">
      <alignment horizontal="center" vertical="top" wrapText="1" shrinkToFit="1"/>
    </xf>
    <xf numFmtId="0" fontId="54" fillId="21" borderId="2" xfId="0" applyFont="1" applyFill="1" applyBorder="1" applyAlignment="1">
      <alignment horizontal="left" vertical="top" wrapText="1"/>
    </xf>
    <xf numFmtId="0" fontId="54" fillId="21" borderId="2" xfId="0" applyFont="1" applyFill="1" applyBorder="1" applyAlignment="1">
      <alignment vertical="top" wrapText="1"/>
    </xf>
    <xf numFmtId="0" fontId="62" fillId="0" borderId="0" xfId="0" applyFont="1" applyFill="1" applyBorder="1" applyAlignment="1" applyProtection="1">
      <alignment horizontal="center"/>
      <protection locked="0"/>
    </xf>
    <xf numFmtId="0" fontId="26" fillId="0" borderId="0" xfId="0" applyFont="1" applyAlignment="1"/>
    <xf numFmtId="43" fontId="26" fillId="0" borderId="2" xfId="1" applyFont="1" applyBorder="1" applyAlignment="1">
      <alignment vertical="top" wrapText="1"/>
    </xf>
    <xf numFmtId="0" fontId="26" fillId="0" borderId="2" xfId="0" applyFont="1" applyBorder="1" applyAlignment="1">
      <alignment horizontal="center" vertical="top" wrapText="1"/>
    </xf>
    <xf numFmtId="187" fontId="26" fillId="0" borderId="2" xfId="0" applyNumberFormat="1" applyFont="1" applyBorder="1" applyAlignment="1">
      <alignment horizontal="center" vertical="top" shrinkToFit="1"/>
    </xf>
    <xf numFmtId="0" fontId="26" fillId="0" borderId="2" xfId="0" applyFont="1" applyBorder="1" applyAlignment="1">
      <alignment horizontal="center" vertical="top" shrinkToFit="1"/>
    </xf>
    <xf numFmtId="0" fontId="26" fillId="0" borderId="2" xfId="0" applyFont="1" applyBorder="1" applyAlignment="1">
      <alignment horizontal="left" vertical="top"/>
    </xf>
    <xf numFmtId="0" fontId="26" fillId="0" borderId="2" xfId="0" applyFont="1" applyBorder="1" applyAlignment="1">
      <alignment vertical="top"/>
    </xf>
    <xf numFmtId="43" fontId="31" fillId="0" borderId="2" xfId="1" applyFont="1" applyBorder="1" applyAlignment="1">
      <alignment horizontal="center" vertical="top" wrapText="1"/>
    </xf>
    <xf numFmtId="0" fontId="31" fillId="0" borderId="2" xfId="0" applyFont="1" applyBorder="1" applyAlignment="1">
      <alignment horizontal="center" vertical="top" shrinkToFit="1"/>
    </xf>
    <xf numFmtId="14" fontId="26" fillId="0" borderId="2" xfId="0" applyNumberFormat="1" applyFont="1" applyBorder="1" applyAlignment="1">
      <alignment vertical="top"/>
    </xf>
    <xf numFmtId="0" fontId="33" fillId="0" borderId="2" xfId="0" applyFont="1" applyBorder="1" applyAlignment="1">
      <alignment horizontal="center" vertical="top" shrinkToFit="1"/>
    </xf>
    <xf numFmtId="43" fontId="26" fillId="0" borderId="2" xfId="1" applyFont="1" applyBorder="1" applyAlignment="1">
      <alignment horizontal="center" vertical="top" wrapText="1"/>
    </xf>
    <xf numFmtId="0" fontId="27" fillId="0" borderId="0" xfId="0" applyFont="1" applyFill="1" applyAlignment="1">
      <alignment vertical="center" wrapText="1"/>
    </xf>
    <xf numFmtId="0" fontId="27" fillId="0" borderId="0" xfId="0" applyFont="1" applyFill="1" applyAlignment="1">
      <alignment wrapText="1"/>
    </xf>
    <xf numFmtId="0" fontId="27" fillId="11" borderId="3" xfId="0" applyFont="1" applyFill="1" applyBorder="1" applyAlignment="1">
      <alignment horizontal="center" vertical="top" wrapText="1"/>
    </xf>
    <xf numFmtId="0" fontId="27" fillId="23" borderId="2" xfId="0" applyFont="1" applyFill="1" applyBorder="1" applyAlignment="1">
      <alignment horizontal="left" vertical="top"/>
    </xf>
    <xf numFmtId="187" fontId="27" fillId="23" borderId="2" xfId="0" applyNumberFormat="1" applyFont="1" applyFill="1" applyBorder="1" applyAlignment="1">
      <alignment horizontal="center" vertical="top" shrinkToFit="1"/>
    </xf>
    <xf numFmtId="0" fontId="31" fillId="23" borderId="2" xfId="0" applyFont="1" applyFill="1" applyBorder="1" applyAlignment="1">
      <alignment horizontal="center" vertical="top" shrinkToFit="1"/>
    </xf>
    <xf numFmtId="0" fontId="27" fillId="23" borderId="2" xfId="0" applyFont="1" applyFill="1" applyBorder="1" applyAlignment="1">
      <alignment horizontal="center" vertical="top" shrinkToFit="1"/>
    </xf>
    <xf numFmtId="0" fontId="27" fillId="23" borderId="2" xfId="0" applyFont="1" applyFill="1" applyBorder="1" applyAlignment="1">
      <alignment vertical="top"/>
    </xf>
    <xf numFmtId="43" fontId="27" fillId="23" borderId="2" xfId="1" applyFont="1" applyFill="1" applyBorder="1" applyAlignment="1">
      <alignment vertical="top" wrapText="1"/>
    </xf>
    <xf numFmtId="14" fontId="27" fillId="23" borderId="2" xfId="0" applyNumberFormat="1" applyFont="1" applyFill="1" applyBorder="1" applyAlignment="1">
      <alignment vertical="top"/>
    </xf>
    <xf numFmtId="0" fontId="33" fillId="23" borderId="2" xfId="0" applyFont="1" applyFill="1" applyBorder="1" applyAlignment="1">
      <alignment horizontal="center" vertical="top" shrinkToFit="1"/>
    </xf>
    <xf numFmtId="187" fontId="27" fillId="23" borderId="2" xfId="0" applyNumberFormat="1" applyFont="1" applyFill="1" applyBorder="1" applyAlignment="1">
      <alignment horizontal="center" vertical="center" wrapText="1"/>
    </xf>
    <xf numFmtId="0" fontId="27" fillId="23" borderId="2" xfId="0" applyFont="1" applyFill="1" applyBorder="1" applyAlignment="1">
      <alignment horizontal="center" vertical="center"/>
    </xf>
    <xf numFmtId="43" fontId="27" fillId="23" borderId="2" xfId="1" applyFont="1" applyFill="1" applyBorder="1" applyAlignment="1">
      <alignment horizontal="center" vertical="center" wrapText="1"/>
    </xf>
    <xf numFmtId="43" fontId="67" fillId="0" borderId="2" xfId="1" applyFont="1" applyBorder="1" applyAlignment="1">
      <alignment horizontal="center" vertical="top" wrapText="1"/>
    </xf>
    <xf numFmtId="43" fontId="27" fillId="0" borderId="11" xfId="1" applyFont="1" applyBorder="1" applyAlignment="1">
      <alignment vertical="center" shrinkToFit="1"/>
    </xf>
    <xf numFmtId="0" fontId="46" fillId="0" borderId="0" xfId="0" applyFont="1" applyFill="1" applyAlignment="1">
      <alignment vertical="top" wrapText="1"/>
    </xf>
    <xf numFmtId="0" fontId="46" fillId="0" borderId="0" xfId="0" applyFont="1" applyFill="1"/>
    <xf numFmtId="43" fontId="47" fillId="0" borderId="11" xfId="1" applyFont="1" applyBorder="1" applyAlignment="1">
      <alignment vertical="center" shrinkToFit="1"/>
    </xf>
    <xf numFmtId="0" fontId="47" fillId="13" borderId="2" xfId="0" applyFont="1" applyFill="1" applyBorder="1" applyAlignment="1">
      <alignment horizontal="center" vertical="top" wrapText="1"/>
    </xf>
    <xf numFmtId="43" fontId="46" fillId="0" borderId="2" xfId="1" applyFont="1" applyFill="1" applyBorder="1" applyAlignment="1">
      <alignment horizontal="center" vertical="center" wrapText="1"/>
    </xf>
    <xf numFmtId="0" fontId="4" fillId="0" borderId="47" xfId="0" applyFont="1" applyBorder="1" applyAlignment="1" applyProtection="1">
      <alignment horizontal="center"/>
    </xf>
    <xf numFmtId="0" fontId="4" fillId="0" borderId="48" xfId="0" applyFont="1" applyBorder="1" applyAlignment="1" applyProtection="1">
      <alignment horizontal="center"/>
    </xf>
    <xf numFmtId="0" fontId="62" fillId="0" borderId="0" xfId="0" applyFont="1" applyFill="1" applyAlignment="1" applyProtection="1">
      <alignment horizontal="center"/>
      <protection locked="0"/>
    </xf>
    <xf numFmtId="0" fontId="62" fillId="0" borderId="0" xfId="0" applyFont="1" applyFill="1" applyBorder="1" applyAlignment="1" applyProtection="1">
      <alignment horizontal="center"/>
      <protection locked="0"/>
    </xf>
    <xf numFmtId="0" fontId="4" fillId="13" borderId="3" xfId="0" applyFont="1" applyFill="1" applyBorder="1" applyAlignment="1" applyProtection="1">
      <alignment horizontal="center" vertical="center"/>
    </xf>
    <xf numFmtId="0" fontId="4" fillId="13" borderId="6" xfId="0" applyFont="1" applyFill="1" applyBorder="1" applyAlignment="1" applyProtection="1">
      <alignment horizontal="center" vertical="center"/>
    </xf>
    <xf numFmtId="49" fontId="4" fillId="14" borderId="4" xfId="0" applyNumberFormat="1" applyFont="1" applyFill="1" applyBorder="1" applyAlignment="1">
      <alignment horizontal="center" vertical="center" wrapText="1"/>
    </xf>
    <xf numFmtId="49" fontId="4" fillId="14" borderId="13" xfId="0" applyNumberFormat="1" applyFont="1" applyFill="1" applyBorder="1" applyAlignment="1">
      <alignment horizontal="center" vertical="center" wrapText="1"/>
    </xf>
    <xf numFmtId="49" fontId="4" fillId="14" borderId="5" xfId="0" applyNumberFormat="1" applyFont="1" applyFill="1" applyBorder="1" applyAlignment="1">
      <alignment horizontal="center" vertical="center" wrapText="1"/>
    </xf>
    <xf numFmtId="49" fontId="4" fillId="14" borderId="3" xfId="0" applyNumberFormat="1" applyFont="1" applyFill="1" applyBorder="1" applyAlignment="1" applyProtection="1">
      <alignment horizontal="center" vertical="center"/>
    </xf>
    <xf numFmtId="49" fontId="4" fillId="14" borderId="6" xfId="0" applyNumberFormat="1" applyFont="1" applyFill="1" applyBorder="1" applyAlignment="1" applyProtection="1">
      <alignment horizontal="center" vertic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39" fillId="0" borderId="0" xfId="0" applyFont="1" applyAlignment="1">
      <alignment horizontal="center"/>
    </xf>
    <xf numFmtId="0" fontId="2" fillId="13" borderId="2" xfId="0" applyFont="1" applyFill="1" applyBorder="1" applyAlignment="1">
      <alignment horizontal="center" vertical="center" wrapText="1"/>
    </xf>
    <xf numFmtId="43" fontId="2" fillId="14" borderId="2" xfId="1" applyFont="1" applyFill="1" applyBorder="1" applyAlignment="1">
      <alignment horizontal="center" vertical="center" wrapText="1"/>
    </xf>
    <xf numFmtId="4" fontId="40" fillId="15" borderId="2" xfId="2" applyNumberFormat="1"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6" xfId="0" applyFont="1" applyFill="1" applyBorder="1" applyAlignment="1">
      <alignment horizontal="center" vertical="center" wrapText="1"/>
    </xf>
    <xf numFmtId="4" fontId="40" fillId="17" borderId="4" xfId="2" applyNumberFormat="1" applyFont="1" applyFill="1" applyBorder="1" applyAlignment="1">
      <alignment horizontal="center" vertical="center" wrapText="1"/>
    </xf>
    <xf numFmtId="4" fontId="40" fillId="17" borderId="5" xfId="2" applyNumberFormat="1" applyFont="1" applyFill="1" applyBorder="1" applyAlignment="1">
      <alignment horizontal="center" vertical="center" wrapText="1"/>
    </xf>
    <xf numFmtId="4" fontId="40" fillId="18" borderId="4" xfId="2" applyNumberFormat="1" applyFont="1" applyFill="1" applyBorder="1" applyAlignment="1">
      <alignment horizontal="center" vertical="top" wrapText="1"/>
    </xf>
    <xf numFmtId="4" fontId="40" fillId="18" borderId="13" xfId="2" applyNumberFormat="1" applyFont="1" applyFill="1" applyBorder="1" applyAlignment="1">
      <alignment horizontal="center" vertical="top" wrapText="1"/>
    </xf>
    <xf numFmtId="4" fontId="40" fillId="18" borderId="5" xfId="2" applyNumberFormat="1" applyFont="1" applyFill="1" applyBorder="1" applyAlignment="1">
      <alignment horizontal="center" vertical="top" wrapText="1"/>
    </xf>
    <xf numFmtId="43" fontId="47" fillId="14" borderId="2" xfId="1" applyFont="1" applyFill="1" applyBorder="1" applyAlignment="1">
      <alignment horizontal="center" vertical="center" wrapText="1"/>
    </xf>
    <xf numFmtId="43" fontId="47" fillId="14" borderId="3" xfId="1" applyFont="1" applyFill="1" applyBorder="1" applyAlignment="1">
      <alignment horizontal="center" vertical="center" wrapText="1"/>
    </xf>
    <xf numFmtId="4" fontId="60" fillId="17" borderId="4" xfId="2" applyNumberFormat="1" applyFont="1" applyFill="1" applyBorder="1" applyAlignment="1">
      <alignment horizontal="center" vertical="center" wrapText="1"/>
    </xf>
    <xf numFmtId="4" fontId="60" fillId="17" borderId="5" xfId="2" applyNumberFormat="1" applyFont="1" applyFill="1" applyBorder="1" applyAlignment="1">
      <alignment horizontal="center" vertical="center" wrapText="1"/>
    </xf>
    <xf numFmtId="0" fontId="45" fillId="0" borderId="0" xfId="0" applyFont="1" applyAlignment="1">
      <alignment horizontal="center"/>
    </xf>
    <xf numFmtId="0" fontId="47" fillId="11" borderId="2" xfId="0" applyFont="1" applyFill="1" applyBorder="1" applyAlignment="1">
      <alignment horizontal="center" vertical="center" wrapText="1"/>
    </xf>
    <xf numFmtId="0" fontId="47" fillId="11" borderId="3" xfId="0" applyFont="1" applyFill="1" applyBorder="1" applyAlignment="1">
      <alignment horizontal="center" vertical="center" wrapText="1"/>
    </xf>
    <xf numFmtId="4" fontId="48" fillId="15" borderId="2" xfId="2" applyNumberFormat="1" applyFont="1" applyFill="1" applyBorder="1" applyAlignment="1">
      <alignment horizontal="center" vertical="center" wrapText="1"/>
    </xf>
    <xf numFmtId="0" fontId="47" fillId="16" borderId="2" xfId="0" applyFont="1" applyFill="1" applyBorder="1" applyAlignment="1">
      <alignment horizontal="center" vertical="center" wrapText="1"/>
    </xf>
    <xf numFmtId="0" fontId="47" fillId="16" borderId="3" xfId="0" applyFont="1" applyFill="1" applyBorder="1" applyAlignment="1">
      <alignment horizontal="center" vertical="center" wrapText="1"/>
    </xf>
    <xf numFmtId="187" fontId="47" fillId="11" borderId="2" xfId="0" applyNumberFormat="1" applyFont="1" applyFill="1" applyBorder="1" applyAlignment="1">
      <alignment horizontal="center" vertical="center" wrapText="1"/>
    </xf>
    <xf numFmtId="187" fontId="47" fillId="11" borderId="3" xfId="0" applyNumberFormat="1" applyFont="1" applyFill="1" applyBorder="1" applyAlignment="1">
      <alignment horizontal="center" vertical="center" wrapText="1"/>
    </xf>
    <xf numFmtId="0" fontId="47" fillId="11" borderId="2" xfId="0" applyFont="1" applyFill="1" applyBorder="1" applyAlignment="1">
      <alignment horizontal="center" vertical="center"/>
    </xf>
    <xf numFmtId="0" fontId="47" fillId="11" borderId="3" xfId="0" applyFont="1" applyFill="1" applyBorder="1" applyAlignment="1">
      <alignment horizontal="center" vertical="center"/>
    </xf>
    <xf numFmtId="4" fontId="48" fillId="18" borderId="2" xfId="2" applyNumberFormat="1" applyFont="1" applyFill="1" applyBorder="1" applyAlignment="1">
      <alignment horizontal="center" vertical="top" wrapText="1"/>
    </xf>
    <xf numFmtId="0" fontId="47" fillId="0" borderId="2" xfId="0" applyFont="1" applyFill="1" applyBorder="1" applyAlignment="1">
      <alignment horizontal="center"/>
    </xf>
    <xf numFmtId="0" fontId="47" fillId="16" borderId="2" xfId="0" applyFont="1" applyFill="1" applyBorder="1" applyAlignment="1">
      <alignment horizontal="center" vertical="center"/>
    </xf>
    <xf numFmtId="187" fontId="47" fillId="11" borderId="2" xfId="0" applyNumberFormat="1" applyFont="1" applyFill="1" applyBorder="1" applyAlignment="1">
      <alignment horizontal="center" vertical="center"/>
    </xf>
    <xf numFmtId="0" fontId="44" fillId="0" borderId="0" xfId="0" applyFont="1" applyBorder="1" applyAlignment="1">
      <alignment horizontal="center" vertical="center"/>
    </xf>
    <xf numFmtId="43" fontId="44" fillId="0" borderId="0" xfId="1" applyFont="1" applyBorder="1" applyAlignment="1">
      <alignment horizontal="center" vertical="center"/>
    </xf>
    <xf numFmtId="0" fontId="2" fillId="16" borderId="2" xfId="0" applyFont="1" applyFill="1" applyBorder="1" applyAlignment="1">
      <alignment horizontal="center" vertical="center" wrapText="1"/>
    </xf>
    <xf numFmtId="4" fontId="40" fillId="17" borderId="2" xfId="2" applyNumberFormat="1" applyFont="1" applyFill="1" applyBorder="1" applyAlignment="1">
      <alignment horizontal="center" vertical="top" wrapText="1"/>
    </xf>
    <xf numFmtId="4" fontId="40" fillId="18" borderId="2" xfId="2" applyNumberFormat="1" applyFont="1" applyFill="1" applyBorder="1" applyAlignment="1">
      <alignment horizontal="center" vertical="top" wrapText="1"/>
    </xf>
    <xf numFmtId="0" fontId="57" fillId="0" borderId="0" xfId="0" applyFont="1" applyBorder="1" applyAlignment="1">
      <alignment horizontal="center" vertical="center"/>
    </xf>
    <xf numFmtId="43" fontId="57" fillId="0" borderId="0" xfId="1" applyFont="1" applyBorder="1" applyAlignment="1">
      <alignment horizontal="center" vertical="center"/>
    </xf>
    <xf numFmtId="4" fontId="48" fillId="17" borderId="4" xfId="2" applyNumberFormat="1" applyFont="1" applyFill="1" applyBorder="1" applyAlignment="1">
      <alignment horizontal="center" vertical="top" wrapText="1"/>
    </xf>
    <xf numFmtId="4" fontId="48" fillId="17" borderId="5" xfId="2" applyNumberFormat="1" applyFont="1" applyFill="1" applyBorder="1" applyAlignment="1">
      <alignment horizontal="center" vertical="top" wrapText="1"/>
    </xf>
    <xf numFmtId="0" fontId="47" fillId="11" borderId="16" xfId="0" applyFont="1" applyFill="1" applyBorder="1" applyAlignment="1">
      <alignment horizontal="center" vertical="center" wrapText="1"/>
    </xf>
    <xf numFmtId="0" fontId="47" fillId="11" borderId="21"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17" xfId="0" applyFont="1" applyFill="1" applyBorder="1" applyAlignment="1">
      <alignment horizontal="center" vertical="center" wrapText="1"/>
    </xf>
    <xf numFmtId="0" fontId="47" fillId="11" borderId="18" xfId="0" applyFont="1" applyFill="1" applyBorder="1" applyAlignment="1">
      <alignment horizontal="center" vertical="center" wrapText="1"/>
    </xf>
    <xf numFmtId="0" fontId="47" fillId="11" borderId="19" xfId="0" applyFont="1" applyFill="1" applyBorder="1" applyAlignment="1">
      <alignment horizontal="center" vertical="center" wrapText="1"/>
    </xf>
    <xf numFmtId="4" fontId="48" fillId="15" borderId="17" xfId="2" applyNumberFormat="1" applyFont="1" applyFill="1" applyBorder="1" applyAlignment="1">
      <alignment horizontal="center" vertical="center" wrapText="1"/>
    </xf>
    <xf numFmtId="4" fontId="48" fillId="15" borderId="18" xfId="2" applyNumberFormat="1" applyFont="1" applyFill="1" applyBorder="1" applyAlignment="1">
      <alignment horizontal="center" vertical="center" wrapText="1"/>
    </xf>
    <xf numFmtId="4" fontId="48" fillId="15" borderId="19" xfId="2" applyNumberFormat="1" applyFont="1" applyFill="1" applyBorder="1" applyAlignment="1">
      <alignment horizontal="center" vertical="center" wrapText="1"/>
    </xf>
    <xf numFmtId="0" fontId="47" fillId="16" borderId="20" xfId="0" applyFont="1" applyFill="1" applyBorder="1" applyAlignment="1">
      <alignment horizontal="center" vertical="center" wrapText="1"/>
    </xf>
    <xf numFmtId="0" fontId="47" fillId="16" borderId="22" xfId="0" applyFont="1" applyFill="1" applyBorder="1" applyAlignment="1">
      <alignment horizontal="center" vertical="center" wrapText="1"/>
    </xf>
    <xf numFmtId="0" fontId="47" fillId="16" borderId="24" xfId="0" applyFont="1" applyFill="1" applyBorder="1" applyAlignment="1">
      <alignment horizontal="center" vertical="center" wrapText="1"/>
    </xf>
    <xf numFmtId="4" fontId="48" fillId="18" borderId="4" xfId="2" applyNumberFormat="1" applyFont="1" applyFill="1" applyBorder="1" applyAlignment="1">
      <alignment horizontal="center" vertical="top" wrapText="1"/>
    </xf>
    <xf numFmtId="4" fontId="48" fillId="18" borderId="13" xfId="2" applyNumberFormat="1" applyFont="1" applyFill="1" applyBorder="1" applyAlignment="1">
      <alignment horizontal="center" vertical="top" wrapText="1"/>
    </xf>
    <xf numFmtId="4" fontId="48" fillId="18" borderId="5" xfId="2" applyNumberFormat="1" applyFont="1" applyFill="1" applyBorder="1" applyAlignment="1">
      <alignment horizontal="center" vertical="top" wrapText="1"/>
    </xf>
    <xf numFmtId="0" fontId="47" fillId="11" borderId="6" xfId="0" applyFont="1" applyFill="1" applyBorder="1" applyAlignment="1">
      <alignment horizontal="center" vertical="center" wrapText="1"/>
    </xf>
    <xf numFmtId="0" fontId="47" fillId="13" borderId="2" xfId="0" applyFont="1" applyFill="1" applyBorder="1" applyAlignment="1">
      <alignment horizontal="center" vertical="center" wrapText="1"/>
    </xf>
    <xf numFmtId="43" fontId="47" fillId="13" borderId="2" xfId="1" applyFont="1" applyFill="1" applyBorder="1" applyAlignment="1">
      <alignment horizontal="center" vertical="center" wrapText="1"/>
    </xf>
    <xf numFmtId="4" fontId="48" fillId="13" borderId="2" xfId="2" applyNumberFormat="1" applyFont="1" applyFill="1" applyBorder="1" applyAlignment="1">
      <alignment horizontal="center" vertical="top" wrapText="1"/>
    </xf>
    <xf numFmtId="4" fontId="48" fillId="13" borderId="2" xfId="2" applyNumberFormat="1" applyFont="1" applyFill="1" applyBorder="1" applyAlignment="1">
      <alignment horizontal="center" vertical="center" wrapText="1"/>
    </xf>
    <xf numFmtId="0" fontId="32" fillId="0" borderId="0" xfId="0" applyFont="1" applyBorder="1" applyAlignment="1">
      <alignment horizontal="center" vertical="center"/>
    </xf>
    <xf numFmtId="43" fontId="32" fillId="0" borderId="0" xfId="1" applyFont="1" applyBorder="1" applyAlignment="1">
      <alignment horizontal="center" vertical="center"/>
    </xf>
    <xf numFmtId="4" fontId="28" fillId="11" borderId="4" xfId="2" applyNumberFormat="1" applyFont="1" applyFill="1" applyBorder="1" applyAlignment="1">
      <alignment horizontal="center" vertical="top" wrapText="1"/>
    </xf>
    <xf numFmtId="4" fontId="28" fillId="11" borderId="13" xfId="2" applyNumberFormat="1" applyFont="1" applyFill="1" applyBorder="1" applyAlignment="1">
      <alignment horizontal="center" vertical="top" wrapText="1"/>
    </xf>
    <xf numFmtId="0" fontId="27" fillId="0" borderId="2" xfId="0" applyFont="1" applyBorder="1" applyAlignment="1">
      <alignment horizontal="center" vertical="center"/>
    </xf>
    <xf numFmtId="0" fontId="25" fillId="0" borderId="0" xfId="0" applyFont="1" applyAlignment="1">
      <alignment horizontal="center"/>
    </xf>
    <xf numFmtId="0" fontId="27" fillId="11" borderId="16"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4" fontId="28" fillId="11" borderId="17" xfId="2" applyNumberFormat="1" applyFont="1" applyFill="1" applyBorder="1" applyAlignment="1">
      <alignment horizontal="center" vertical="center" wrapText="1"/>
    </xf>
    <xf numFmtId="4" fontId="28" fillId="11" borderId="18" xfId="2" applyNumberFormat="1" applyFont="1" applyFill="1" applyBorder="1" applyAlignment="1">
      <alignment horizontal="center" vertical="center" wrapText="1"/>
    </xf>
    <xf numFmtId="4" fontId="28" fillId="11" borderId="19" xfId="2" applyNumberFormat="1"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27" fillId="11" borderId="22" xfId="0" applyFont="1" applyFill="1" applyBorder="1" applyAlignment="1">
      <alignment horizontal="center" vertical="center" wrapText="1"/>
    </xf>
    <xf numFmtId="187" fontId="27" fillId="11" borderId="2" xfId="0" applyNumberFormat="1" applyFont="1" applyFill="1" applyBorder="1" applyAlignment="1">
      <alignment horizontal="center" vertical="center" wrapText="1"/>
    </xf>
    <xf numFmtId="187" fontId="27" fillId="11" borderId="3" xfId="0" applyNumberFormat="1" applyFont="1" applyFill="1" applyBorder="1" applyAlignment="1">
      <alignment horizontal="center" vertical="center" wrapText="1"/>
    </xf>
    <xf numFmtId="0" fontId="27" fillId="11" borderId="2" xfId="0" applyFont="1" applyFill="1" applyBorder="1" applyAlignment="1">
      <alignment horizontal="center" vertical="center"/>
    </xf>
    <xf numFmtId="0" fontId="27" fillId="11" borderId="3" xfId="0" applyFont="1" applyFill="1" applyBorder="1" applyAlignment="1">
      <alignment horizontal="center" vertical="center"/>
    </xf>
    <xf numFmtId="4" fontId="28" fillId="11" borderId="5" xfId="2" applyNumberFormat="1" applyFont="1" applyFill="1" applyBorder="1" applyAlignment="1">
      <alignment horizontal="center" vertical="top" wrapText="1"/>
    </xf>
    <xf numFmtId="0" fontId="27" fillId="11" borderId="10" xfId="0" applyFont="1" applyFill="1" applyBorder="1" applyAlignment="1">
      <alignment horizontal="center" vertical="center"/>
    </xf>
    <xf numFmtId="43" fontId="27" fillId="11" borderId="2" xfId="1" applyFont="1" applyFill="1" applyBorder="1" applyAlignment="1">
      <alignment horizontal="center" vertical="center" wrapText="1"/>
    </xf>
    <xf numFmtId="43" fontId="27" fillId="11" borderId="3" xfId="1"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11" borderId="23" xfId="0" applyFont="1" applyFill="1" applyBorder="1" applyAlignment="1">
      <alignment horizontal="center" vertical="center" wrapText="1"/>
    </xf>
    <xf numFmtId="0" fontId="27" fillId="11" borderId="24" xfId="0" applyFont="1" applyFill="1" applyBorder="1" applyAlignment="1">
      <alignment horizontal="center" vertical="center" wrapText="1"/>
    </xf>
    <xf numFmtId="14" fontId="27" fillId="11" borderId="2" xfId="0" applyNumberFormat="1"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2" fillId="0" borderId="0" xfId="0" applyFont="1" applyBorder="1" applyAlignment="1">
      <alignment horizontal="center" vertical="center"/>
    </xf>
    <xf numFmtId="43" fontId="22" fillId="0" borderId="0" xfId="1" applyFont="1" applyBorder="1" applyAlignment="1">
      <alignment horizontal="center" vertical="center"/>
    </xf>
    <xf numFmtId="4" fontId="18" fillId="11" borderId="4" xfId="2" applyNumberFormat="1" applyFont="1" applyFill="1" applyBorder="1" applyAlignment="1">
      <alignment horizontal="center" vertical="top" wrapText="1"/>
    </xf>
    <xf numFmtId="4" fontId="18" fillId="11" borderId="13" xfId="2" applyNumberFormat="1" applyFont="1" applyFill="1" applyBorder="1" applyAlignment="1">
      <alignment horizontal="center" vertical="top" wrapText="1"/>
    </xf>
    <xf numFmtId="0" fontId="16" fillId="0" borderId="4"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4" fillId="0" borderId="0" xfId="0" applyFont="1" applyAlignment="1">
      <alignment horizontal="center"/>
    </xf>
    <xf numFmtId="0" fontId="16" fillId="11" borderId="3"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13" xfId="0" applyFont="1" applyFill="1" applyBorder="1" applyAlignment="1">
      <alignment horizontal="center" vertical="center" wrapText="1"/>
    </xf>
    <xf numFmtId="0" fontId="16" fillId="11" borderId="5" xfId="0" applyFont="1" applyFill="1" applyBorder="1" applyAlignment="1">
      <alignment horizontal="center" vertical="center" wrapText="1"/>
    </xf>
    <xf numFmtId="4" fontId="18" fillId="11" borderId="4" xfId="2" applyNumberFormat="1" applyFont="1" applyFill="1" applyBorder="1" applyAlignment="1">
      <alignment horizontal="center" vertical="center" wrapText="1"/>
    </xf>
    <xf numFmtId="4" fontId="18" fillId="11" borderId="13" xfId="2" applyNumberFormat="1" applyFont="1" applyFill="1" applyBorder="1" applyAlignment="1">
      <alignment horizontal="center" vertical="center" wrapText="1"/>
    </xf>
    <xf numFmtId="4" fontId="18" fillId="11" borderId="14" xfId="2" applyNumberFormat="1" applyFont="1" applyFill="1" applyBorder="1" applyAlignment="1">
      <alignment horizontal="center" vertical="center" wrapText="1"/>
    </xf>
    <xf numFmtId="14" fontId="16" fillId="11" borderId="2" xfId="0" applyNumberFormat="1" applyFont="1" applyFill="1" applyBorder="1" applyAlignment="1">
      <alignment horizontal="center" vertical="center" wrapText="1"/>
    </xf>
    <xf numFmtId="0" fontId="16" fillId="11" borderId="2" xfId="0" applyFont="1" applyFill="1" applyBorder="1" applyAlignment="1">
      <alignment horizontal="center" vertical="center" wrapText="1"/>
    </xf>
    <xf numFmtId="4" fontId="18" fillId="11" borderId="5" xfId="2" applyNumberFormat="1" applyFont="1" applyFill="1" applyBorder="1" applyAlignment="1">
      <alignment horizontal="center" vertical="top" wrapText="1"/>
    </xf>
    <xf numFmtId="43" fontId="16" fillId="11" borderId="2" xfId="1" applyFont="1" applyFill="1" applyBorder="1" applyAlignment="1">
      <alignment horizontal="center" vertical="center" wrapText="1"/>
    </xf>
    <xf numFmtId="187" fontId="16" fillId="11" borderId="2" xfId="0" applyNumberFormat="1" applyFont="1" applyFill="1" applyBorder="1" applyAlignment="1">
      <alignment horizontal="center" vertical="center" wrapText="1"/>
    </xf>
    <xf numFmtId="0" fontId="16" fillId="11" borderId="3" xfId="0" applyFont="1" applyFill="1" applyBorder="1" applyAlignment="1">
      <alignment horizontal="left" vertical="center" wrapText="1"/>
    </xf>
    <xf numFmtId="0" fontId="16" fillId="11" borderId="6" xfId="0" applyFont="1" applyFill="1" applyBorder="1" applyAlignment="1">
      <alignment horizontal="left" vertical="center" wrapText="1"/>
    </xf>
    <xf numFmtId="43" fontId="8" fillId="7" borderId="3" xfId="1" applyFont="1" applyFill="1" applyBorder="1" applyAlignment="1">
      <alignment horizontal="center" vertical="center"/>
    </xf>
    <xf numFmtId="43" fontId="8" fillId="7" borderId="6" xfId="1" applyFont="1" applyFill="1" applyBorder="1" applyAlignment="1">
      <alignment horizontal="center" vertical="center"/>
    </xf>
    <xf numFmtId="43" fontId="8" fillId="4" borderId="2" xfId="1" applyFont="1" applyFill="1" applyBorder="1" applyAlignment="1">
      <alignment horizontal="center"/>
    </xf>
    <xf numFmtId="0" fontId="8" fillId="2" borderId="2" xfId="0" applyFont="1" applyFill="1" applyBorder="1" applyAlignment="1">
      <alignment horizontal="center"/>
    </xf>
    <xf numFmtId="0" fontId="8" fillId="7" borderId="2" xfId="0" applyFont="1" applyFill="1" applyBorder="1" applyAlignment="1">
      <alignment horizontal="center"/>
    </xf>
    <xf numFmtId="43" fontId="8" fillId="4" borderId="4" xfId="1" applyFont="1" applyFill="1" applyBorder="1" applyAlignment="1">
      <alignment horizontal="center" vertical="center" shrinkToFit="1"/>
    </xf>
    <xf numFmtId="43" fontId="8" fillId="4" borderId="5" xfId="1" applyFont="1" applyFill="1" applyBorder="1" applyAlignment="1">
      <alignment horizontal="center" vertical="center" shrinkToFit="1"/>
    </xf>
    <xf numFmtId="43" fontId="8" fillId="4" borderId="2" xfId="1" applyFont="1" applyFill="1" applyBorder="1" applyAlignment="1">
      <alignment horizontal="center" vertical="center" wrapText="1" shrinkToFit="1"/>
    </xf>
    <xf numFmtId="43" fontId="8" fillId="4" borderId="2" xfId="1" applyFont="1" applyFill="1" applyBorder="1" applyAlignment="1">
      <alignment horizontal="center" vertical="center" shrinkToFit="1"/>
    </xf>
    <xf numFmtId="43" fontId="8" fillId="8" borderId="2" xfId="1" applyFont="1" applyFill="1" applyBorder="1" applyAlignment="1">
      <alignment horizontal="center"/>
    </xf>
    <xf numFmtId="43" fontId="10" fillId="9" borderId="2" xfId="1" applyFont="1" applyFill="1" applyBorder="1" applyAlignment="1">
      <alignment horizontal="center"/>
    </xf>
    <xf numFmtId="43" fontId="8" fillId="10" borderId="4" xfId="1" applyFont="1" applyFill="1" applyBorder="1" applyAlignment="1">
      <alignment horizontal="center"/>
    </xf>
    <xf numFmtId="43" fontId="8" fillId="10" borderId="5" xfId="1" applyFont="1" applyFill="1" applyBorder="1" applyAlignment="1">
      <alignment horizontal="center"/>
    </xf>
    <xf numFmtId="43" fontId="8" fillId="7" borderId="3"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3" fontId="8" fillId="0" borderId="2" xfId="1"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1" xfId="0" applyFont="1" applyBorder="1" applyAlignment="1">
      <alignment horizont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top"/>
    </xf>
    <xf numFmtId="0" fontId="4" fillId="0" borderId="2" xfId="0" applyFont="1" applyFill="1" applyBorder="1" applyAlignment="1">
      <alignment horizontal="center" vertical="center"/>
    </xf>
    <xf numFmtId="0" fontId="23" fillId="0" borderId="0" xfId="0" applyFont="1" applyFill="1" applyBorder="1" applyAlignment="1">
      <alignment horizontal="center" vertical="top"/>
    </xf>
    <xf numFmtId="0" fontId="47" fillId="21" borderId="2" xfId="0" applyFont="1" applyFill="1" applyBorder="1" applyAlignment="1">
      <alignment horizontal="center" vertical="top" shrinkToFit="1"/>
    </xf>
    <xf numFmtId="0" fontId="47" fillId="21" borderId="2" xfId="0" applyFont="1" applyFill="1" applyBorder="1" applyAlignment="1">
      <alignment vertical="top"/>
    </xf>
    <xf numFmtId="0" fontId="46" fillId="0" borderId="2" xfId="0" applyFont="1" applyBorder="1" applyAlignment="1">
      <alignment horizontal="center" vertical="top" shrinkToFit="1"/>
    </xf>
    <xf numFmtId="0" fontId="46" fillId="0" borderId="2" xfId="0" applyFont="1" applyBorder="1" applyAlignment="1">
      <alignment horizontal="left" vertical="top"/>
    </xf>
    <xf numFmtId="43" fontId="46" fillId="0" borderId="2" xfId="1" applyFont="1" applyBorder="1" applyAlignment="1">
      <alignment vertical="top" wrapText="1"/>
    </xf>
    <xf numFmtId="43" fontId="68" fillId="0" borderId="2" xfId="1" applyFont="1" applyBorder="1" applyAlignment="1">
      <alignment horizontal="center" vertical="top" wrapText="1"/>
    </xf>
    <xf numFmtId="0" fontId="58" fillId="0" borderId="0" xfId="0" applyFont="1" applyAlignment="1">
      <alignment vertical="top" wrapText="1"/>
    </xf>
    <xf numFmtId="43" fontId="69" fillId="0" borderId="2" xfId="1" applyFont="1" applyBorder="1" applyAlignment="1">
      <alignment vertical="top" wrapText="1"/>
    </xf>
    <xf numFmtId="0" fontId="52" fillId="0" borderId="2" xfId="0" applyFont="1" applyBorder="1" applyAlignment="1">
      <alignment horizontal="center" vertical="top" wrapText="1" shrinkToFit="1"/>
    </xf>
    <xf numFmtId="0" fontId="52" fillId="21" borderId="2" xfId="0" applyFont="1" applyFill="1" applyBorder="1" applyAlignment="1">
      <alignment horizontal="center" vertical="top" wrapText="1" shrinkToFit="1"/>
    </xf>
    <xf numFmtId="0" fontId="58" fillId="0" borderId="2" xfId="0" applyFont="1" applyBorder="1" applyAlignment="1">
      <alignment horizontal="left" vertical="top"/>
    </xf>
    <xf numFmtId="43" fontId="58" fillId="0" borderId="2" xfId="1" applyFont="1" applyBorder="1" applyAlignment="1">
      <alignment vertical="top" wrapText="1"/>
    </xf>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43" fontId="64" fillId="0" borderId="0" xfId="1" applyFont="1" applyAlignment="1">
      <alignment wrapText="1"/>
    </xf>
    <xf numFmtId="43" fontId="2" fillId="14" borderId="34" xfId="1" applyFont="1" applyFill="1" applyBorder="1" applyAlignment="1">
      <alignment shrinkToFit="1"/>
    </xf>
    <xf numFmtId="43" fontId="2" fillId="19" borderId="34" xfId="1" applyFont="1" applyFill="1" applyBorder="1" applyAlignment="1">
      <alignment shrinkToFit="1"/>
    </xf>
    <xf numFmtId="43" fontId="2" fillId="11" borderId="34" xfId="1" applyFont="1" applyFill="1" applyBorder="1" applyAlignment="1">
      <alignment shrinkToFit="1"/>
    </xf>
    <xf numFmtId="43" fontId="2" fillId="16" borderId="34" xfId="1" applyFont="1" applyFill="1" applyBorder="1" applyAlignment="1">
      <alignment shrinkToFit="1"/>
    </xf>
  </cellXfs>
  <cellStyles count="4">
    <cellStyle name="Comma" xfId="1" builtinId="3"/>
    <cellStyle name="Normal" xfId="0" builtinId="0"/>
    <cellStyle name="ปกติ 2 2" xfId="2"/>
    <cellStyle name="ปกติ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
  <sheetViews>
    <sheetView tabSelected="1" workbookViewId="0">
      <selection activeCell="O23" sqref="O23"/>
    </sheetView>
  </sheetViews>
  <sheetFormatPr defaultRowHeight="23.25" x14ac:dyDescent="0.5"/>
  <cols>
    <col min="1" max="1" width="2.625" style="417" bestFit="1" customWidth="1"/>
    <col min="2" max="2" width="34.5" style="418" customWidth="1"/>
    <col min="3" max="5" width="11.25" style="419" customWidth="1"/>
    <col min="6" max="13" width="11.25" style="417" customWidth="1"/>
    <col min="14" max="14" width="11.625" style="417" bestFit="1" customWidth="1"/>
    <col min="15" max="15" width="14.125" style="417" customWidth="1"/>
    <col min="16" max="16" width="28" style="417" bestFit="1" customWidth="1"/>
    <col min="17" max="17" width="11.625" style="417" bestFit="1" customWidth="1"/>
    <col min="18" max="256" width="9" style="417"/>
    <col min="257" max="257" width="2.625" style="417" bestFit="1" customWidth="1"/>
    <col min="258" max="258" width="34.5" style="417" customWidth="1"/>
    <col min="259" max="269" width="11.25" style="417" customWidth="1"/>
    <col min="270" max="270" width="11.625" style="417" bestFit="1" customWidth="1"/>
    <col min="271" max="271" width="14.125" style="417" customWidth="1"/>
    <col min="272" max="272" width="28" style="417" bestFit="1" customWidth="1"/>
    <col min="273" max="273" width="11.625" style="417" bestFit="1" customWidth="1"/>
    <col min="274" max="512" width="9" style="417"/>
    <col min="513" max="513" width="2.625" style="417" bestFit="1" customWidth="1"/>
    <col min="514" max="514" width="34.5" style="417" customWidth="1"/>
    <col min="515" max="525" width="11.25" style="417" customWidth="1"/>
    <col min="526" max="526" width="11.625" style="417" bestFit="1" customWidth="1"/>
    <col min="527" max="527" width="14.125" style="417" customWidth="1"/>
    <col min="528" max="528" width="28" style="417" bestFit="1" customWidth="1"/>
    <col min="529" max="529" width="11.625" style="417" bestFit="1" customWidth="1"/>
    <col min="530" max="768" width="9" style="417"/>
    <col min="769" max="769" width="2.625" style="417" bestFit="1" customWidth="1"/>
    <col min="770" max="770" width="34.5" style="417" customWidth="1"/>
    <col min="771" max="781" width="11.25" style="417" customWidth="1"/>
    <col min="782" max="782" width="11.625" style="417" bestFit="1" customWidth="1"/>
    <col min="783" max="783" width="14.125" style="417" customWidth="1"/>
    <col min="784" max="784" width="28" style="417" bestFit="1" customWidth="1"/>
    <col min="785" max="785" width="11.625" style="417" bestFit="1" customWidth="1"/>
    <col min="786" max="1024" width="9" style="417"/>
    <col min="1025" max="1025" width="2.625" style="417" bestFit="1" customWidth="1"/>
    <col min="1026" max="1026" width="34.5" style="417" customWidth="1"/>
    <col min="1027" max="1037" width="11.25" style="417" customWidth="1"/>
    <col min="1038" max="1038" width="11.625" style="417" bestFit="1" customWidth="1"/>
    <col min="1039" max="1039" width="14.125" style="417" customWidth="1"/>
    <col min="1040" max="1040" width="28" style="417" bestFit="1" customWidth="1"/>
    <col min="1041" max="1041" width="11.625" style="417" bestFit="1" customWidth="1"/>
    <col min="1042" max="1280" width="9" style="417"/>
    <col min="1281" max="1281" width="2.625" style="417" bestFit="1" customWidth="1"/>
    <col min="1282" max="1282" width="34.5" style="417" customWidth="1"/>
    <col min="1283" max="1293" width="11.25" style="417" customWidth="1"/>
    <col min="1294" max="1294" width="11.625" style="417" bestFit="1" customWidth="1"/>
    <col min="1295" max="1295" width="14.125" style="417" customWidth="1"/>
    <col min="1296" max="1296" width="28" style="417" bestFit="1" customWidth="1"/>
    <col min="1297" max="1297" width="11.625" style="417" bestFit="1" customWidth="1"/>
    <col min="1298" max="1536" width="9" style="417"/>
    <col min="1537" max="1537" width="2.625" style="417" bestFit="1" customWidth="1"/>
    <col min="1538" max="1538" width="34.5" style="417" customWidth="1"/>
    <col min="1539" max="1549" width="11.25" style="417" customWidth="1"/>
    <col min="1550" max="1550" width="11.625" style="417" bestFit="1" customWidth="1"/>
    <col min="1551" max="1551" width="14.125" style="417" customWidth="1"/>
    <col min="1552" max="1552" width="28" style="417" bestFit="1" customWidth="1"/>
    <col min="1553" max="1553" width="11.625" style="417" bestFit="1" customWidth="1"/>
    <col min="1554" max="1792" width="9" style="417"/>
    <col min="1793" max="1793" width="2.625" style="417" bestFit="1" customWidth="1"/>
    <col min="1794" max="1794" width="34.5" style="417" customWidth="1"/>
    <col min="1795" max="1805" width="11.25" style="417" customWidth="1"/>
    <col min="1806" max="1806" width="11.625" style="417" bestFit="1" customWidth="1"/>
    <col min="1807" max="1807" width="14.125" style="417" customWidth="1"/>
    <col min="1808" max="1808" width="28" style="417" bestFit="1" customWidth="1"/>
    <col min="1809" max="1809" width="11.625" style="417" bestFit="1" customWidth="1"/>
    <col min="1810" max="2048" width="9" style="417"/>
    <col min="2049" max="2049" width="2.625" style="417" bestFit="1" customWidth="1"/>
    <col min="2050" max="2050" width="34.5" style="417" customWidth="1"/>
    <col min="2051" max="2061" width="11.25" style="417" customWidth="1"/>
    <col min="2062" max="2062" width="11.625" style="417" bestFit="1" customWidth="1"/>
    <col min="2063" max="2063" width="14.125" style="417" customWidth="1"/>
    <col min="2064" max="2064" width="28" style="417" bestFit="1" customWidth="1"/>
    <col min="2065" max="2065" width="11.625" style="417" bestFit="1" customWidth="1"/>
    <col min="2066" max="2304" width="9" style="417"/>
    <col min="2305" max="2305" width="2.625" style="417" bestFit="1" customWidth="1"/>
    <col min="2306" max="2306" width="34.5" style="417" customWidth="1"/>
    <col min="2307" max="2317" width="11.25" style="417" customWidth="1"/>
    <col min="2318" max="2318" width="11.625" style="417" bestFit="1" customWidth="1"/>
    <col min="2319" max="2319" width="14.125" style="417" customWidth="1"/>
    <col min="2320" max="2320" width="28" style="417" bestFit="1" customWidth="1"/>
    <col min="2321" max="2321" width="11.625" style="417" bestFit="1" customWidth="1"/>
    <col min="2322" max="2560" width="9" style="417"/>
    <col min="2561" max="2561" width="2.625" style="417" bestFit="1" customWidth="1"/>
    <col min="2562" max="2562" width="34.5" style="417" customWidth="1"/>
    <col min="2563" max="2573" width="11.25" style="417" customWidth="1"/>
    <col min="2574" max="2574" width="11.625" style="417" bestFit="1" customWidth="1"/>
    <col min="2575" max="2575" width="14.125" style="417" customWidth="1"/>
    <col min="2576" max="2576" width="28" style="417" bestFit="1" customWidth="1"/>
    <col min="2577" max="2577" width="11.625" style="417" bestFit="1" customWidth="1"/>
    <col min="2578" max="2816" width="9" style="417"/>
    <col min="2817" max="2817" width="2.625" style="417" bestFit="1" customWidth="1"/>
    <col min="2818" max="2818" width="34.5" style="417" customWidth="1"/>
    <col min="2819" max="2829" width="11.25" style="417" customWidth="1"/>
    <col min="2830" max="2830" width="11.625" style="417" bestFit="1" customWidth="1"/>
    <col min="2831" max="2831" width="14.125" style="417" customWidth="1"/>
    <col min="2832" max="2832" width="28" style="417" bestFit="1" customWidth="1"/>
    <col min="2833" max="2833" width="11.625" style="417" bestFit="1" customWidth="1"/>
    <col min="2834" max="3072" width="9" style="417"/>
    <col min="3073" max="3073" width="2.625" style="417" bestFit="1" customWidth="1"/>
    <col min="3074" max="3074" width="34.5" style="417" customWidth="1"/>
    <col min="3075" max="3085" width="11.25" style="417" customWidth="1"/>
    <col min="3086" max="3086" width="11.625" style="417" bestFit="1" customWidth="1"/>
    <col min="3087" max="3087" width="14.125" style="417" customWidth="1"/>
    <col min="3088" max="3088" width="28" style="417" bestFit="1" customWidth="1"/>
    <col min="3089" max="3089" width="11.625" style="417" bestFit="1" customWidth="1"/>
    <col min="3090" max="3328" width="9" style="417"/>
    <col min="3329" max="3329" width="2.625" style="417" bestFit="1" customWidth="1"/>
    <col min="3330" max="3330" width="34.5" style="417" customWidth="1"/>
    <col min="3331" max="3341" width="11.25" style="417" customWidth="1"/>
    <col min="3342" max="3342" width="11.625" style="417" bestFit="1" customWidth="1"/>
    <col min="3343" max="3343" width="14.125" style="417" customWidth="1"/>
    <col min="3344" max="3344" width="28" style="417" bestFit="1" customWidth="1"/>
    <col min="3345" max="3345" width="11.625" style="417" bestFit="1" customWidth="1"/>
    <col min="3346" max="3584" width="9" style="417"/>
    <col min="3585" max="3585" width="2.625" style="417" bestFit="1" customWidth="1"/>
    <col min="3586" max="3586" width="34.5" style="417" customWidth="1"/>
    <col min="3587" max="3597" width="11.25" style="417" customWidth="1"/>
    <col min="3598" max="3598" width="11.625" style="417" bestFit="1" customWidth="1"/>
    <col min="3599" max="3599" width="14.125" style="417" customWidth="1"/>
    <col min="3600" max="3600" width="28" style="417" bestFit="1" customWidth="1"/>
    <col min="3601" max="3601" width="11.625" style="417" bestFit="1" customWidth="1"/>
    <col min="3602" max="3840" width="9" style="417"/>
    <col min="3841" max="3841" width="2.625" style="417" bestFit="1" customWidth="1"/>
    <col min="3842" max="3842" width="34.5" style="417" customWidth="1"/>
    <col min="3843" max="3853" width="11.25" style="417" customWidth="1"/>
    <col min="3854" max="3854" width="11.625" style="417" bestFit="1" customWidth="1"/>
    <col min="3855" max="3855" width="14.125" style="417" customWidth="1"/>
    <col min="3856" max="3856" width="28" style="417" bestFit="1" customWidth="1"/>
    <col min="3857" max="3857" width="11.625" style="417" bestFit="1" customWidth="1"/>
    <col min="3858" max="4096" width="9" style="417"/>
    <col min="4097" max="4097" width="2.625" style="417" bestFit="1" customWidth="1"/>
    <col min="4098" max="4098" width="34.5" style="417" customWidth="1"/>
    <col min="4099" max="4109" width="11.25" style="417" customWidth="1"/>
    <col min="4110" max="4110" width="11.625" style="417" bestFit="1" customWidth="1"/>
    <col min="4111" max="4111" width="14.125" style="417" customWidth="1"/>
    <col min="4112" max="4112" width="28" style="417" bestFit="1" customWidth="1"/>
    <col min="4113" max="4113" width="11.625" style="417" bestFit="1" customWidth="1"/>
    <col min="4114" max="4352" width="9" style="417"/>
    <col min="4353" max="4353" width="2.625" style="417" bestFit="1" customWidth="1"/>
    <col min="4354" max="4354" width="34.5" style="417" customWidth="1"/>
    <col min="4355" max="4365" width="11.25" style="417" customWidth="1"/>
    <col min="4366" max="4366" width="11.625" style="417" bestFit="1" customWidth="1"/>
    <col min="4367" max="4367" width="14.125" style="417" customWidth="1"/>
    <col min="4368" max="4368" width="28" style="417" bestFit="1" customWidth="1"/>
    <col min="4369" max="4369" width="11.625" style="417" bestFit="1" customWidth="1"/>
    <col min="4370" max="4608" width="9" style="417"/>
    <col min="4609" max="4609" width="2.625" style="417" bestFit="1" customWidth="1"/>
    <col min="4610" max="4610" width="34.5" style="417" customWidth="1"/>
    <col min="4611" max="4621" width="11.25" style="417" customWidth="1"/>
    <col min="4622" max="4622" width="11.625" style="417" bestFit="1" customWidth="1"/>
    <col min="4623" max="4623" width="14.125" style="417" customWidth="1"/>
    <col min="4624" max="4624" width="28" style="417" bestFit="1" customWidth="1"/>
    <col min="4625" max="4625" width="11.625" style="417" bestFit="1" customWidth="1"/>
    <col min="4626" max="4864" width="9" style="417"/>
    <col min="4865" max="4865" width="2.625" style="417" bestFit="1" customWidth="1"/>
    <col min="4866" max="4866" width="34.5" style="417" customWidth="1"/>
    <col min="4867" max="4877" width="11.25" style="417" customWidth="1"/>
    <col min="4878" max="4878" width="11.625" style="417" bestFit="1" customWidth="1"/>
    <col min="4879" max="4879" width="14.125" style="417" customWidth="1"/>
    <col min="4880" max="4880" width="28" style="417" bestFit="1" customWidth="1"/>
    <col min="4881" max="4881" width="11.625" style="417" bestFit="1" customWidth="1"/>
    <col min="4882" max="5120" width="9" style="417"/>
    <col min="5121" max="5121" width="2.625" style="417" bestFit="1" customWidth="1"/>
    <col min="5122" max="5122" width="34.5" style="417" customWidth="1"/>
    <col min="5123" max="5133" width="11.25" style="417" customWidth="1"/>
    <col min="5134" max="5134" width="11.625" style="417" bestFit="1" customWidth="1"/>
    <col min="5135" max="5135" width="14.125" style="417" customWidth="1"/>
    <col min="5136" max="5136" width="28" style="417" bestFit="1" customWidth="1"/>
    <col min="5137" max="5137" width="11.625" style="417" bestFit="1" customWidth="1"/>
    <col min="5138" max="5376" width="9" style="417"/>
    <col min="5377" max="5377" width="2.625" style="417" bestFit="1" customWidth="1"/>
    <col min="5378" max="5378" width="34.5" style="417" customWidth="1"/>
    <col min="5379" max="5389" width="11.25" style="417" customWidth="1"/>
    <col min="5390" max="5390" width="11.625" style="417" bestFit="1" customWidth="1"/>
    <col min="5391" max="5391" width="14.125" style="417" customWidth="1"/>
    <col min="5392" max="5392" width="28" style="417" bestFit="1" customWidth="1"/>
    <col min="5393" max="5393" width="11.625" style="417" bestFit="1" customWidth="1"/>
    <col min="5394" max="5632" width="9" style="417"/>
    <col min="5633" max="5633" width="2.625" style="417" bestFit="1" customWidth="1"/>
    <col min="5634" max="5634" width="34.5" style="417" customWidth="1"/>
    <col min="5635" max="5645" width="11.25" style="417" customWidth="1"/>
    <col min="5646" max="5646" width="11.625" style="417" bestFit="1" customWidth="1"/>
    <col min="5647" max="5647" width="14.125" style="417" customWidth="1"/>
    <col min="5648" max="5648" width="28" style="417" bestFit="1" customWidth="1"/>
    <col min="5649" max="5649" width="11.625" style="417" bestFit="1" customWidth="1"/>
    <col min="5650" max="5888" width="9" style="417"/>
    <col min="5889" max="5889" width="2.625" style="417" bestFit="1" customWidth="1"/>
    <col min="5890" max="5890" width="34.5" style="417" customWidth="1"/>
    <col min="5891" max="5901" width="11.25" style="417" customWidth="1"/>
    <col min="5902" max="5902" width="11.625" style="417" bestFit="1" customWidth="1"/>
    <col min="5903" max="5903" width="14.125" style="417" customWidth="1"/>
    <col min="5904" max="5904" width="28" style="417" bestFit="1" customWidth="1"/>
    <col min="5905" max="5905" width="11.625" style="417" bestFit="1" customWidth="1"/>
    <col min="5906" max="6144" width="9" style="417"/>
    <col min="6145" max="6145" width="2.625" style="417" bestFit="1" customWidth="1"/>
    <col min="6146" max="6146" width="34.5" style="417" customWidth="1"/>
    <col min="6147" max="6157" width="11.25" style="417" customWidth="1"/>
    <col min="6158" max="6158" width="11.625" style="417" bestFit="1" customWidth="1"/>
    <col min="6159" max="6159" width="14.125" style="417" customWidth="1"/>
    <col min="6160" max="6160" width="28" style="417" bestFit="1" customWidth="1"/>
    <col min="6161" max="6161" width="11.625" style="417" bestFit="1" customWidth="1"/>
    <col min="6162" max="6400" width="9" style="417"/>
    <col min="6401" max="6401" width="2.625" style="417" bestFit="1" customWidth="1"/>
    <col min="6402" max="6402" width="34.5" style="417" customWidth="1"/>
    <col min="6403" max="6413" width="11.25" style="417" customWidth="1"/>
    <col min="6414" max="6414" width="11.625" style="417" bestFit="1" customWidth="1"/>
    <col min="6415" max="6415" width="14.125" style="417" customWidth="1"/>
    <col min="6416" max="6416" width="28" style="417" bestFit="1" customWidth="1"/>
    <col min="6417" max="6417" width="11.625" style="417" bestFit="1" customWidth="1"/>
    <col min="6418" max="6656" width="9" style="417"/>
    <col min="6657" max="6657" width="2.625" style="417" bestFit="1" customWidth="1"/>
    <col min="6658" max="6658" width="34.5" style="417" customWidth="1"/>
    <col min="6659" max="6669" width="11.25" style="417" customWidth="1"/>
    <col min="6670" max="6670" width="11.625" style="417" bestFit="1" customWidth="1"/>
    <col min="6671" max="6671" width="14.125" style="417" customWidth="1"/>
    <col min="6672" max="6672" width="28" style="417" bestFit="1" customWidth="1"/>
    <col min="6673" max="6673" width="11.625" style="417" bestFit="1" customWidth="1"/>
    <col min="6674" max="6912" width="9" style="417"/>
    <col min="6913" max="6913" width="2.625" style="417" bestFit="1" customWidth="1"/>
    <col min="6914" max="6914" width="34.5" style="417" customWidth="1"/>
    <col min="6915" max="6925" width="11.25" style="417" customWidth="1"/>
    <col min="6926" max="6926" width="11.625" style="417" bestFit="1" customWidth="1"/>
    <col min="6927" max="6927" width="14.125" style="417" customWidth="1"/>
    <col min="6928" max="6928" width="28" style="417" bestFit="1" customWidth="1"/>
    <col min="6929" max="6929" width="11.625" style="417" bestFit="1" customWidth="1"/>
    <col min="6930" max="7168" width="9" style="417"/>
    <col min="7169" max="7169" width="2.625" style="417" bestFit="1" customWidth="1"/>
    <col min="7170" max="7170" width="34.5" style="417" customWidth="1"/>
    <col min="7171" max="7181" width="11.25" style="417" customWidth="1"/>
    <col min="7182" max="7182" width="11.625" style="417" bestFit="1" customWidth="1"/>
    <col min="7183" max="7183" width="14.125" style="417" customWidth="1"/>
    <col min="7184" max="7184" width="28" style="417" bestFit="1" customWidth="1"/>
    <col min="7185" max="7185" width="11.625" style="417" bestFit="1" customWidth="1"/>
    <col min="7186" max="7424" width="9" style="417"/>
    <col min="7425" max="7425" width="2.625" style="417" bestFit="1" customWidth="1"/>
    <col min="7426" max="7426" width="34.5" style="417" customWidth="1"/>
    <col min="7427" max="7437" width="11.25" style="417" customWidth="1"/>
    <col min="7438" max="7438" width="11.625" style="417" bestFit="1" customWidth="1"/>
    <col min="7439" max="7439" width="14.125" style="417" customWidth="1"/>
    <col min="7440" max="7440" width="28" style="417" bestFit="1" customWidth="1"/>
    <col min="7441" max="7441" width="11.625" style="417" bestFit="1" customWidth="1"/>
    <col min="7442" max="7680" width="9" style="417"/>
    <col min="7681" max="7681" width="2.625" style="417" bestFit="1" customWidth="1"/>
    <col min="7682" max="7682" width="34.5" style="417" customWidth="1"/>
    <col min="7683" max="7693" width="11.25" style="417" customWidth="1"/>
    <col min="7694" max="7694" width="11.625" style="417" bestFit="1" customWidth="1"/>
    <col min="7695" max="7695" width="14.125" style="417" customWidth="1"/>
    <col min="7696" max="7696" width="28" style="417" bestFit="1" customWidth="1"/>
    <col min="7697" max="7697" width="11.625" style="417" bestFit="1" customWidth="1"/>
    <col min="7698" max="7936" width="9" style="417"/>
    <col min="7937" max="7937" width="2.625" style="417" bestFit="1" customWidth="1"/>
    <col min="7938" max="7938" width="34.5" style="417" customWidth="1"/>
    <col min="7939" max="7949" width="11.25" style="417" customWidth="1"/>
    <col min="7950" max="7950" width="11.625" style="417" bestFit="1" customWidth="1"/>
    <col min="7951" max="7951" width="14.125" style="417" customWidth="1"/>
    <col min="7952" max="7952" width="28" style="417" bestFit="1" customWidth="1"/>
    <col min="7953" max="7953" width="11.625" style="417" bestFit="1" customWidth="1"/>
    <col min="7954" max="8192" width="9" style="417"/>
    <col min="8193" max="8193" width="2.625" style="417" bestFit="1" customWidth="1"/>
    <col min="8194" max="8194" width="34.5" style="417" customWidth="1"/>
    <col min="8195" max="8205" width="11.25" style="417" customWidth="1"/>
    <col min="8206" max="8206" width="11.625" style="417" bestFit="1" customWidth="1"/>
    <col min="8207" max="8207" width="14.125" style="417" customWidth="1"/>
    <col min="8208" max="8208" width="28" style="417" bestFit="1" customWidth="1"/>
    <col min="8209" max="8209" width="11.625" style="417" bestFit="1" customWidth="1"/>
    <col min="8210" max="8448" width="9" style="417"/>
    <col min="8449" max="8449" width="2.625" style="417" bestFit="1" customWidth="1"/>
    <col min="8450" max="8450" width="34.5" style="417" customWidth="1"/>
    <col min="8451" max="8461" width="11.25" style="417" customWidth="1"/>
    <col min="8462" max="8462" width="11.625" style="417" bestFit="1" customWidth="1"/>
    <col min="8463" max="8463" width="14.125" style="417" customWidth="1"/>
    <col min="8464" max="8464" width="28" style="417" bestFit="1" customWidth="1"/>
    <col min="8465" max="8465" width="11.625" style="417" bestFit="1" customWidth="1"/>
    <col min="8466" max="8704" width="9" style="417"/>
    <col min="8705" max="8705" width="2.625" style="417" bestFit="1" customWidth="1"/>
    <col min="8706" max="8706" width="34.5" style="417" customWidth="1"/>
    <col min="8707" max="8717" width="11.25" style="417" customWidth="1"/>
    <col min="8718" max="8718" width="11.625" style="417" bestFit="1" customWidth="1"/>
    <col min="8719" max="8719" width="14.125" style="417" customWidth="1"/>
    <col min="8720" max="8720" width="28" style="417" bestFit="1" customWidth="1"/>
    <col min="8721" max="8721" width="11.625" style="417" bestFit="1" customWidth="1"/>
    <col min="8722" max="8960" width="9" style="417"/>
    <col min="8961" max="8961" width="2.625" style="417" bestFit="1" customWidth="1"/>
    <col min="8962" max="8962" width="34.5" style="417" customWidth="1"/>
    <col min="8963" max="8973" width="11.25" style="417" customWidth="1"/>
    <col min="8974" max="8974" width="11.625" style="417" bestFit="1" customWidth="1"/>
    <col min="8975" max="8975" width="14.125" style="417" customWidth="1"/>
    <col min="8976" max="8976" width="28" style="417" bestFit="1" customWidth="1"/>
    <col min="8977" max="8977" width="11.625" style="417" bestFit="1" customWidth="1"/>
    <col min="8978" max="9216" width="9" style="417"/>
    <col min="9217" max="9217" width="2.625" style="417" bestFit="1" customWidth="1"/>
    <col min="9218" max="9218" width="34.5" style="417" customWidth="1"/>
    <col min="9219" max="9229" width="11.25" style="417" customWidth="1"/>
    <col min="9230" max="9230" width="11.625" style="417" bestFit="1" customWidth="1"/>
    <col min="9231" max="9231" width="14.125" style="417" customWidth="1"/>
    <col min="9232" max="9232" width="28" style="417" bestFit="1" customWidth="1"/>
    <col min="9233" max="9233" width="11.625" style="417" bestFit="1" customWidth="1"/>
    <col min="9234" max="9472" width="9" style="417"/>
    <col min="9473" max="9473" width="2.625" style="417" bestFit="1" customWidth="1"/>
    <col min="9474" max="9474" width="34.5" style="417" customWidth="1"/>
    <col min="9475" max="9485" width="11.25" style="417" customWidth="1"/>
    <col min="9486" max="9486" width="11.625" style="417" bestFit="1" customWidth="1"/>
    <col min="9487" max="9487" width="14.125" style="417" customWidth="1"/>
    <col min="9488" max="9488" width="28" style="417" bestFit="1" customWidth="1"/>
    <col min="9489" max="9489" width="11.625" style="417" bestFit="1" customWidth="1"/>
    <col min="9490" max="9728" width="9" style="417"/>
    <col min="9729" max="9729" width="2.625" style="417" bestFit="1" customWidth="1"/>
    <col min="9730" max="9730" width="34.5" style="417" customWidth="1"/>
    <col min="9731" max="9741" width="11.25" style="417" customWidth="1"/>
    <col min="9742" max="9742" width="11.625" style="417" bestFit="1" customWidth="1"/>
    <col min="9743" max="9743" width="14.125" style="417" customWidth="1"/>
    <col min="9744" max="9744" width="28" style="417" bestFit="1" customWidth="1"/>
    <col min="9745" max="9745" width="11.625" style="417" bestFit="1" customWidth="1"/>
    <col min="9746" max="9984" width="9" style="417"/>
    <col min="9985" max="9985" width="2.625" style="417" bestFit="1" customWidth="1"/>
    <col min="9986" max="9986" width="34.5" style="417" customWidth="1"/>
    <col min="9987" max="9997" width="11.25" style="417" customWidth="1"/>
    <col min="9998" max="9998" width="11.625" style="417" bestFit="1" customWidth="1"/>
    <col min="9999" max="9999" width="14.125" style="417" customWidth="1"/>
    <col min="10000" max="10000" width="28" style="417" bestFit="1" customWidth="1"/>
    <col min="10001" max="10001" width="11.625" style="417" bestFit="1" customWidth="1"/>
    <col min="10002" max="10240" width="9" style="417"/>
    <col min="10241" max="10241" width="2.625" style="417" bestFit="1" customWidth="1"/>
    <col min="10242" max="10242" width="34.5" style="417" customWidth="1"/>
    <col min="10243" max="10253" width="11.25" style="417" customWidth="1"/>
    <col min="10254" max="10254" width="11.625" style="417" bestFit="1" customWidth="1"/>
    <col min="10255" max="10255" width="14.125" style="417" customWidth="1"/>
    <col min="10256" max="10256" width="28" style="417" bestFit="1" customWidth="1"/>
    <col min="10257" max="10257" width="11.625" style="417" bestFit="1" customWidth="1"/>
    <col min="10258" max="10496" width="9" style="417"/>
    <col min="10497" max="10497" width="2.625" style="417" bestFit="1" customWidth="1"/>
    <col min="10498" max="10498" width="34.5" style="417" customWidth="1"/>
    <col min="10499" max="10509" width="11.25" style="417" customWidth="1"/>
    <col min="10510" max="10510" width="11.625" style="417" bestFit="1" customWidth="1"/>
    <col min="10511" max="10511" width="14.125" style="417" customWidth="1"/>
    <col min="10512" max="10512" width="28" style="417" bestFit="1" customWidth="1"/>
    <col min="10513" max="10513" width="11.625" style="417" bestFit="1" customWidth="1"/>
    <col min="10514" max="10752" width="9" style="417"/>
    <col min="10753" max="10753" width="2.625" style="417" bestFit="1" customWidth="1"/>
    <col min="10754" max="10754" width="34.5" style="417" customWidth="1"/>
    <col min="10755" max="10765" width="11.25" style="417" customWidth="1"/>
    <col min="10766" max="10766" width="11.625" style="417" bestFit="1" customWidth="1"/>
    <col min="10767" max="10767" width="14.125" style="417" customWidth="1"/>
    <col min="10768" max="10768" width="28" style="417" bestFit="1" customWidth="1"/>
    <col min="10769" max="10769" width="11.625" style="417" bestFit="1" customWidth="1"/>
    <col min="10770" max="11008" width="9" style="417"/>
    <col min="11009" max="11009" width="2.625" style="417" bestFit="1" customWidth="1"/>
    <col min="11010" max="11010" width="34.5" style="417" customWidth="1"/>
    <col min="11011" max="11021" width="11.25" style="417" customWidth="1"/>
    <col min="11022" max="11022" width="11.625" style="417" bestFit="1" customWidth="1"/>
    <col min="11023" max="11023" width="14.125" style="417" customWidth="1"/>
    <col min="11024" max="11024" width="28" style="417" bestFit="1" customWidth="1"/>
    <col min="11025" max="11025" width="11.625" style="417" bestFit="1" customWidth="1"/>
    <col min="11026" max="11264" width="9" style="417"/>
    <col min="11265" max="11265" width="2.625" style="417" bestFit="1" customWidth="1"/>
    <col min="11266" max="11266" width="34.5" style="417" customWidth="1"/>
    <col min="11267" max="11277" width="11.25" style="417" customWidth="1"/>
    <col min="11278" max="11278" width="11.625" style="417" bestFit="1" customWidth="1"/>
    <col min="11279" max="11279" width="14.125" style="417" customWidth="1"/>
    <col min="11280" max="11280" width="28" style="417" bestFit="1" customWidth="1"/>
    <col min="11281" max="11281" width="11.625" style="417" bestFit="1" customWidth="1"/>
    <col min="11282" max="11520" width="9" style="417"/>
    <col min="11521" max="11521" width="2.625" style="417" bestFit="1" customWidth="1"/>
    <col min="11522" max="11522" width="34.5" style="417" customWidth="1"/>
    <col min="11523" max="11533" width="11.25" style="417" customWidth="1"/>
    <col min="11534" max="11534" width="11.625" style="417" bestFit="1" customWidth="1"/>
    <col min="11535" max="11535" width="14.125" style="417" customWidth="1"/>
    <col min="11536" max="11536" width="28" style="417" bestFit="1" customWidth="1"/>
    <col min="11537" max="11537" width="11.625" style="417" bestFit="1" customWidth="1"/>
    <col min="11538" max="11776" width="9" style="417"/>
    <col min="11777" max="11777" width="2.625" style="417" bestFit="1" customWidth="1"/>
    <col min="11778" max="11778" width="34.5" style="417" customWidth="1"/>
    <col min="11779" max="11789" width="11.25" style="417" customWidth="1"/>
    <col min="11790" max="11790" width="11.625" style="417" bestFit="1" customWidth="1"/>
    <col min="11791" max="11791" width="14.125" style="417" customWidth="1"/>
    <col min="11792" max="11792" width="28" style="417" bestFit="1" customWidth="1"/>
    <col min="11793" max="11793" width="11.625" style="417" bestFit="1" customWidth="1"/>
    <col min="11794" max="12032" width="9" style="417"/>
    <col min="12033" max="12033" width="2.625" style="417" bestFit="1" customWidth="1"/>
    <col min="12034" max="12034" width="34.5" style="417" customWidth="1"/>
    <col min="12035" max="12045" width="11.25" style="417" customWidth="1"/>
    <col min="12046" max="12046" width="11.625" style="417" bestFit="1" customWidth="1"/>
    <col min="12047" max="12047" width="14.125" style="417" customWidth="1"/>
    <col min="12048" max="12048" width="28" style="417" bestFit="1" customWidth="1"/>
    <col min="12049" max="12049" width="11.625" style="417" bestFit="1" customWidth="1"/>
    <col min="12050" max="12288" width="9" style="417"/>
    <col min="12289" max="12289" width="2.625" style="417" bestFit="1" customWidth="1"/>
    <col min="12290" max="12290" width="34.5" style="417" customWidth="1"/>
    <col min="12291" max="12301" width="11.25" style="417" customWidth="1"/>
    <col min="12302" max="12302" width="11.625" style="417" bestFit="1" customWidth="1"/>
    <col min="12303" max="12303" width="14.125" style="417" customWidth="1"/>
    <col min="12304" max="12304" width="28" style="417" bestFit="1" customWidth="1"/>
    <col min="12305" max="12305" width="11.625" style="417" bestFit="1" customWidth="1"/>
    <col min="12306" max="12544" width="9" style="417"/>
    <col min="12545" max="12545" width="2.625" style="417" bestFit="1" customWidth="1"/>
    <col min="12546" max="12546" width="34.5" style="417" customWidth="1"/>
    <col min="12547" max="12557" width="11.25" style="417" customWidth="1"/>
    <col min="12558" max="12558" width="11.625" style="417" bestFit="1" customWidth="1"/>
    <col min="12559" max="12559" width="14.125" style="417" customWidth="1"/>
    <col min="12560" max="12560" width="28" style="417" bestFit="1" customWidth="1"/>
    <col min="12561" max="12561" width="11.625" style="417" bestFit="1" customWidth="1"/>
    <col min="12562" max="12800" width="9" style="417"/>
    <col min="12801" max="12801" width="2.625" style="417" bestFit="1" customWidth="1"/>
    <col min="12802" max="12802" width="34.5" style="417" customWidth="1"/>
    <col min="12803" max="12813" width="11.25" style="417" customWidth="1"/>
    <col min="12814" max="12814" width="11.625" style="417" bestFit="1" customWidth="1"/>
    <col min="12815" max="12815" width="14.125" style="417" customWidth="1"/>
    <col min="12816" max="12816" width="28" style="417" bestFit="1" customWidth="1"/>
    <col min="12817" max="12817" width="11.625" style="417" bestFit="1" customWidth="1"/>
    <col min="12818" max="13056" width="9" style="417"/>
    <col min="13057" max="13057" width="2.625" style="417" bestFit="1" customWidth="1"/>
    <col min="13058" max="13058" width="34.5" style="417" customWidth="1"/>
    <col min="13059" max="13069" width="11.25" style="417" customWidth="1"/>
    <col min="13070" max="13070" width="11.625" style="417" bestFit="1" customWidth="1"/>
    <col min="13071" max="13071" width="14.125" style="417" customWidth="1"/>
    <col min="13072" max="13072" width="28" style="417" bestFit="1" customWidth="1"/>
    <col min="13073" max="13073" width="11.625" style="417" bestFit="1" customWidth="1"/>
    <col min="13074" max="13312" width="9" style="417"/>
    <col min="13313" max="13313" width="2.625" style="417" bestFit="1" customWidth="1"/>
    <col min="13314" max="13314" width="34.5" style="417" customWidth="1"/>
    <col min="13315" max="13325" width="11.25" style="417" customWidth="1"/>
    <col min="13326" max="13326" width="11.625" style="417" bestFit="1" customWidth="1"/>
    <col min="13327" max="13327" width="14.125" style="417" customWidth="1"/>
    <col min="13328" max="13328" width="28" style="417" bestFit="1" customWidth="1"/>
    <col min="13329" max="13329" width="11.625" style="417" bestFit="1" customWidth="1"/>
    <col min="13330" max="13568" width="9" style="417"/>
    <col min="13569" max="13569" width="2.625" style="417" bestFit="1" customWidth="1"/>
    <col min="13570" max="13570" width="34.5" style="417" customWidth="1"/>
    <col min="13571" max="13581" width="11.25" style="417" customWidth="1"/>
    <col min="13582" max="13582" width="11.625" style="417" bestFit="1" customWidth="1"/>
    <col min="13583" max="13583" width="14.125" style="417" customWidth="1"/>
    <col min="13584" max="13584" width="28" style="417" bestFit="1" customWidth="1"/>
    <col min="13585" max="13585" width="11.625" style="417" bestFit="1" customWidth="1"/>
    <col min="13586" max="13824" width="9" style="417"/>
    <col min="13825" max="13825" width="2.625" style="417" bestFit="1" customWidth="1"/>
    <col min="13826" max="13826" width="34.5" style="417" customWidth="1"/>
    <col min="13827" max="13837" width="11.25" style="417" customWidth="1"/>
    <col min="13838" max="13838" width="11.625" style="417" bestFit="1" customWidth="1"/>
    <col min="13839" max="13839" width="14.125" style="417" customWidth="1"/>
    <col min="13840" max="13840" width="28" style="417" bestFit="1" customWidth="1"/>
    <col min="13841" max="13841" width="11.625" style="417" bestFit="1" customWidth="1"/>
    <col min="13842" max="14080" width="9" style="417"/>
    <col min="14081" max="14081" width="2.625" style="417" bestFit="1" customWidth="1"/>
    <col min="14082" max="14082" width="34.5" style="417" customWidth="1"/>
    <col min="14083" max="14093" width="11.25" style="417" customWidth="1"/>
    <col min="14094" max="14094" width="11.625" style="417" bestFit="1" customWidth="1"/>
    <col min="14095" max="14095" width="14.125" style="417" customWidth="1"/>
    <col min="14096" max="14096" width="28" style="417" bestFit="1" customWidth="1"/>
    <col min="14097" max="14097" width="11.625" style="417" bestFit="1" customWidth="1"/>
    <col min="14098" max="14336" width="9" style="417"/>
    <col min="14337" max="14337" width="2.625" style="417" bestFit="1" customWidth="1"/>
    <col min="14338" max="14338" width="34.5" style="417" customWidth="1"/>
    <col min="14339" max="14349" width="11.25" style="417" customWidth="1"/>
    <col min="14350" max="14350" width="11.625" style="417" bestFit="1" customWidth="1"/>
    <col min="14351" max="14351" width="14.125" style="417" customWidth="1"/>
    <col min="14352" max="14352" width="28" style="417" bestFit="1" customWidth="1"/>
    <col min="14353" max="14353" width="11.625" style="417" bestFit="1" customWidth="1"/>
    <col min="14354" max="14592" width="9" style="417"/>
    <col min="14593" max="14593" width="2.625" style="417" bestFit="1" customWidth="1"/>
    <col min="14594" max="14594" width="34.5" style="417" customWidth="1"/>
    <col min="14595" max="14605" width="11.25" style="417" customWidth="1"/>
    <col min="14606" max="14606" width="11.625" style="417" bestFit="1" customWidth="1"/>
    <col min="14607" max="14607" width="14.125" style="417" customWidth="1"/>
    <col min="14608" max="14608" width="28" style="417" bestFit="1" customWidth="1"/>
    <col min="14609" max="14609" width="11.625" style="417" bestFit="1" customWidth="1"/>
    <col min="14610" max="14848" width="9" style="417"/>
    <col min="14849" max="14849" width="2.625" style="417" bestFit="1" customWidth="1"/>
    <col min="14850" max="14850" width="34.5" style="417" customWidth="1"/>
    <col min="14851" max="14861" width="11.25" style="417" customWidth="1"/>
    <col min="14862" max="14862" width="11.625" style="417" bestFit="1" customWidth="1"/>
    <col min="14863" max="14863" width="14.125" style="417" customWidth="1"/>
    <col min="14864" max="14864" width="28" style="417" bestFit="1" customWidth="1"/>
    <col min="14865" max="14865" width="11.625" style="417" bestFit="1" customWidth="1"/>
    <col min="14866" max="15104" width="9" style="417"/>
    <col min="15105" max="15105" width="2.625" style="417" bestFit="1" customWidth="1"/>
    <col min="15106" max="15106" width="34.5" style="417" customWidth="1"/>
    <col min="15107" max="15117" width="11.25" style="417" customWidth="1"/>
    <col min="15118" max="15118" width="11.625" style="417" bestFit="1" customWidth="1"/>
    <col min="15119" max="15119" width="14.125" style="417" customWidth="1"/>
    <col min="15120" max="15120" width="28" style="417" bestFit="1" customWidth="1"/>
    <col min="15121" max="15121" width="11.625" style="417" bestFit="1" customWidth="1"/>
    <col min="15122" max="15360" width="9" style="417"/>
    <col min="15361" max="15361" width="2.625" style="417" bestFit="1" customWidth="1"/>
    <col min="15362" max="15362" width="34.5" style="417" customWidth="1"/>
    <col min="15363" max="15373" width="11.25" style="417" customWidth="1"/>
    <col min="15374" max="15374" width="11.625" style="417" bestFit="1" customWidth="1"/>
    <col min="15375" max="15375" width="14.125" style="417" customWidth="1"/>
    <col min="15376" max="15376" width="28" style="417" bestFit="1" customWidth="1"/>
    <col min="15377" max="15377" width="11.625" style="417" bestFit="1" customWidth="1"/>
    <col min="15378" max="15616" width="9" style="417"/>
    <col min="15617" max="15617" width="2.625" style="417" bestFit="1" customWidth="1"/>
    <col min="15618" max="15618" width="34.5" style="417" customWidth="1"/>
    <col min="15619" max="15629" width="11.25" style="417" customWidth="1"/>
    <col min="15630" max="15630" width="11.625" style="417" bestFit="1" customWidth="1"/>
    <col min="15631" max="15631" width="14.125" style="417" customWidth="1"/>
    <col min="15632" max="15632" width="28" style="417" bestFit="1" customWidth="1"/>
    <col min="15633" max="15633" width="11.625" style="417" bestFit="1" customWidth="1"/>
    <col min="15634" max="15872" width="9" style="417"/>
    <col min="15873" max="15873" width="2.625" style="417" bestFit="1" customWidth="1"/>
    <col min="15874" max="15874" width="34.5" style="417" customWidth="1"/>
    <col min="15875" max="15885" width="11.25" style="417" customWidth="1"/>
    <col min="15886" max="15886" width="11.625" style="417" bestFit="1" customWidth="1"/>
    <col min="15887" max="15887" width="14.125" style="417" customWidth="1"/>
    <col min="15888" max="15888" width="28" style="417" bestFit="1" customWidth="1"/>
    <col min="15889" max="15889" width="11.625" style="417" bestFit="1" customWidth="1"/>
    <col min="15890" max="16128" width="9" style="417"/>
    <col min="16129" max="16129" width="2.625" style="417" bestFit="1" customWidth="1"/>
    <col min="16130" max="16130" width="34.5" style="417" customWidth="1"/>
    <col min="16131" max="16141" width="11.25" style="417" customWidth="1"/>
    <col min="16142" max="16142" width="11.625" style="417" bestFit="1" customWidth="1"/>
    <col min="16143" max="16143" width="14.125" style="417" customWidth="1"/>
    <col min="16144" max="16144" width="28" style="417" bestFit="1" customWidth="1"/>
    <col min="16145" max="16145" width="11.625" style="417" bestFit="1" customWidth="1"/>
    <col min="16146" max="16384" width="9" style="417"/>
  </cols>
  <sheetData>
    <row r="1" spans="1:18" s="405" customFormat="1" x14ac:dyDescent="0.5">
      <c r="A1" s="485" t="s">
        <v>2495</v>
      </c>
      <c r="B1" s="485"/>
      <c r="C1" s="485"/>
      <c r="D1" s="485"/>
      <c r="E1" s="485"/>
      <c r="F1" s="485"/>
      <c r="G1" s="485"/>
      <c r="H1" s="485"/>
      <c r="I1" s="485"/>
      <c r="J1" s="485"/>
      <c r="K1" s="485"/>
      <c r="L1" s="485"/>
      <c r="M1" s="485"/>
      <c r="N1" s="485"/>
      <c r="O1" s="485"/>
    </row>
    <row r="2" spans="1:18" s="405" customFormat="1" x14ac:dyDescent="0.5">
      <c r="A2" s="485" t="s">
        <v>2496</v>
      </c>
      <c r="B2" s="485"/>
      <c r="C2" s="485"/>
      <c r="D2" s="485"/>
      <c r="E2" s="485"/>
      <c r="F2" s="485"/>
      <c r="G2" s="485"/>
      <c r="H2" s="485"/>
      <c r="I2" s="485"/>
      <c r="J2" s="485"/>
      <c r="K2" s="485"/>
      <c r="L2" s="485"/>
      <c r="M2" s="485"/>
      <c r="N2" s="485"/>
      <c r="O2" s="485"/>
    </row>
    <row r="3" spans="1:18" s="405" customFormat="1" x14ac:dyDescent="0.5">
      <c r="A3" s="486" t="s">
        <v>2817</v>
      </c>
      <c r="B3" s="486"/>
      <c r="C3" s="486"/>
      <c r="D3" s="486"/>
      <c r="E3" s="486"/>
      <c r="F3" s="486"/>
      <c r="G3" s="486"/>
      <c r="H3" s="486"/>
      <c r="I3" s="486"/>
      <c r="J3" s="486"/>
      <c r="K3" s="486"/>
      <c r="L3" s="486"/>
      <c r="M3" s="486"/>
      <c r="N3" s="486"/>
      <c r="O3" s="486"/>
    </row>
    <row r="4" spans="1:18" s="405" customFormat="1" x14ac:dyDescent="0.5">
      <c r="A4" s="449"/>
      <c r="B4" s="449"/>
      <c r="C4" s="449"/>
      <c r="D4" s="449"/>
      <c r="E4" s="449"/>
      <c r="F4" s="449"/>
      <c r="G4" s="449"/>
      <c r="H4" s="449"/>
      <c r="I4" s="449"/>
      <c r="J4" s="449"/>
      <c r="K4" s="449"/>
      <c r="L4" s="449"/>
      <c r="M4" s="449"/>
      <c r="N4" s="449"/>
      <c r="O4" s="449"/>
    </row>
    <row r="5" spans="1:18" s="406" customFormat="1" ht="21" x14ac:dyDescent="0.45">
      <c r="A5" s="487" t="s">
        <v>2497</v>
      </c>
      <c r="B5" s="487" t="s">
        <v>1915</v>
      </c>
      <c r="C5" s="489" t="s">
        <v>2498</v>
      </c>
      <c r="D5" s="490"/>
      <c r="E5" s="490"/>
      <c r="F5" s="490"/>
      <c r="G5" s="490"/>
      <c r="H5" s="490"/>
      <c r="I5" s="490"/>
      <c r="J5" s="490"/>
      <c r="K5" s="490"/>
      <c r="L5" s="490"/>
      <c r="M5" s="490"/>
      <c r="N5" s="491"/>
      <c r="O5" s="492" t="s">
        <v>1919</v>
      </c>
    </row>
    <row r="6" spans="1:18" s="406" customFormat="1" ht="21" x14ac:dyDescent="0.45">
      <c r="A6" s="488"/>
      <c r="B6" s="488"/>
      <c r="C6" s="407" t="s">
        <v>2499</v>
      </c>
      <c r="D6" s="407" t="s">
        <v>2500</v>
      </c>
      <c r="E6" s="407" t="s">
        <v>2501</v>
      </c>
      <c r="F6" s="407" t="s">
        <v>2502</v>
      </c>
      <c r="G6" s="407" t="s">
        <v>2503</v>
      </c>
      <c r="H6" s="407" t="s">
        <v>2504</v>
      </c>
      <c r="I6" s="407" t="s">
        <v>2505</v>
      </c>
      <c r="J6" s="407" t="s">
        <v>2506</v>
      </c>
      <c r="K6" s="407" t="s">
        <v>2507</v>
      </c>
      <c r="L6" s="407" t="s">
        <v>2508</v>
      </c>
      <c r="M6" s="407" t="s">
        <v>2509</v>
      </c>
      <c r="N6" s="407" t="s">
        <v>2510</v>
      </c>
      <c r="O6" s="493"/>
    </row>
    <row r="7" spans="1:18" s="409" customFormat="1" ht="21" x14ac:dyDescent="0.45">
      <c r="A7" s="311">
        <v>1</v>
      </c>
      <c r="B7" s="308" t="s">
        <v>739</v>
      </c>
      <c r="C7" s="187">
        <v>20000</v>
      </c>
      <c r="D7" s="187">
        <v>0</v>
      </c>
      <c r="E7" s="187">
        <v>0</v>
      </c>
      <c r="F7" s="187">
        <v>1098880</v>
      </c>
      <c r="G7" s="187">
        <v>0</v>
      </c>
      <c r="H7" s="187">
        <v>0</v>
      </c>
      <c r="I7" s="187">
        <v>0</v>
      </c>
      <c r="J7" s="187">
        <v>0</v>
      </c>
      <c r="K7" s="187">
        <v>0</v>
      </c>
      <c r="L7" s="187">
        <v>0</v>
      </c>
      <c r="M7" s="187">
        <v>94000</v>
      </c>
      <c r="N7" s="187">
        <v>1764650</v>
      </c>
      <c r="O7" s="408">
        <f>SUM(C7:N7)</f>
        <v>2977530</v>
      </c>
      <c r="P7" s="432"/>
      <c r="Q7" s="432"/>
      <c r="R7" s="433"/>
    </row>
    <row r="8" spans="1:18" s="409" customFormat="1" ht="21" x14ac:dyDescent="0.45">
      <c r="A8" s="311">
        <v>2</v>
      </c>
      <c r="B8" s="308" t="s">
        <v>360</v>
      </c>
      <c r="C8" s="187">
        <v>490200</v>
      </c>
      <c r="D8" s="187">
        <v>0</v>
      </c>
      <c r="E8" s="187">
        <v>15877</v>
      </c>
      <c r="F8" s="187">
        <v>758190</v>
      </c>
      <c r="G8" s="187">
        <v>0</v>
      </c>
      <c r="H8" s="187">
        <v>142500</v>
      </c>
      <c r="I8" s="187">
        <v>0</v>
      </c>
      <c r="J8" s="187">
        <v>0</v>
      </c>
      <c r="K8" s="187">
        <v>0</v>
      </c>
      <c r="L8" s="187">
        <v>203490</v>
      </c>
      <c r="M8" s="187">
        <v>0</v>
      </c>
      <c r="N8" s="187">
        <v>244245</v>
      </c>
      <c r="O8" s="408">
        <f>SUM(C8:N8)</f>
        <v>1854502</v>
      </c>
      <c r="P8" s="432"/>
      <c r="Q8" s="432"/>
      <c r="R8" s="433"/>
    </row>
    <row r="9" spans="1:18" s="409" customFormat="1" ht="21" x14ac:dyDescent="0.45">
      <c r="A9" s="311">
        <v>3</v>
      </c>
      <c r="B9" s="308" t="s">
        <v>2126</v>
      </c>
      <c r="C9" s="187">
        <v>171000</v>
      </c>
      <c r="D9" s="187">
        <v>0</v>
      </c>
      <c r="E9" s="187">
        <v>0</v>
      </c>
      <c r="F9" s="187">
        <v>0</v>
      </c>
      <c r="G9" s="187">
        <v>0</v>
      </c>
      <c r="H9" s="187">
        <v>0</v>
      </c>
      <c r="I9" s="187">
        <v>142500</v>
      </c>
      <c r="J9" s="187">
        <v>0</v>
      </c>
      <c r="K9" s="187">
        <v>0</v>
      </c>
      <c r="L9" s="187">
        <v>114000</v>
      </c>
      <c r="M9" s="187">
        <v>0</v>
      </c>
      <c r="N9" s="187">
        <v>0</v>
      </c>
      <c r="O9" s="408">
        <f>SUM(C9:N9)</f>
        <v>427500</v>
      </c>
      <c r="P9" s="432"/>
      <c r="Q9" s="432"/>
      <c r="R9" s="433"/>
    </row>
    <row r="10" spans="1:18" s="409" customFormat="1" ht="21" x14ac:dyDescent="0.45">
      <c r="A10" s="311">
        <v>4</v>
      </c>
      <c r="B10" s="308" t="s">
        <v>161</v>
      </c>
      <c r="C10" s="187">
        <v>50000</v>
      </c>
      <c r="D10" s="187">
        <v>353000</v>
      </c>
      <c r="E10" s="187">
        <v>0</v>
      </c>
      <c r="F10" s="187">
        <f>1109496-39546</f>
        <v>1069950</v>
      </c>
      <c r="G10" s="187">
        <v>304000</v>
      </c>
      <c r="H10" s="187">
        <f>1024433-39546</f>
        <v>984887</v>
      </c>
      <c r="I10" s="187">
        <v>389025</v>
      </c>
      <c r="J10" s="187">
        <v>22500</v>
      </c>
      <c r="K10" s="187">
        <v>47500</v>
      </c>
      <c r="L10" s="187">
        <v>440000</v>
      </c>
      <c r="M10" s="187">
        <v>135100</v>
      </c>
      <c r="N10" s="187">
        <v>2681251</v>
      </c>
      <c r="O10" s="408">
        <f>SUM(C10:N10)</f>
        <v>6477213</v>
      </c>
      <c r="P10" s="432"/>
      <c r="Q10" s="432"/>
      <c r="R10" s="433"/>
    </row>
    <row r="11" spans="1:18" s="409" customFormat="1" ht="21" x14ac:dyDescent="0.45">
      <c r="A11" s="311">
        <v>5</v>
      </c>
      <c r="B11" s="308" t="s">
        <v>156</v>
      </c>
      <c r="C11" s="187">
        <v>0</v>
      </c>
      <c r="D11" s="187">
        <v>0</v>
      </c>
      <c r="E11" s="187">
        <v>0</v>
      </c>
      <c r="F11" s="187">
        <v>0</v>
      </c>
      <c r="G11" s="187">
        <v>0</v>
      </c>
      <c r="H11" s="187">
        <v>0</v>
      </c>
      <c r="I11" s="187">
        <v>0</v>
      </c>
      <c r="J11" s="187">
        <v>0</v>
      </c>
      <c r="K11" s="187">
        <v>38190</v>
      </c>
      <c r="L11" s="187">
        <v>0</v>
      </c>
      <c r="M11" s="187">
        <v>0</v>
      </c>
      <c r="N11" s="187">
        <v>3200000</v>
      </c>
      <c r="O11" s="408">
        <f>SUM(C11:N11)</f>
        <v>3238190</v>
      </c>
      <c r="P11" s="432"/>
      <c r="Q11" s="432"/>
      <c r="R11" s="433"/>
    </row>
    <row r="12" spans="1:18" s="409" customFormat="1" ht="21" x14ac:dyDescent="0.45">
      <c r="A12" s="311">
        <v>6</v>
      </c>
      <c r="B12" s="308" t="s">
        <v>2434</v>
      </c>
      <c r="C12" s="187">
        <v>440300</v>
      </c>
      <c r="D12" s="187">
        <v>264666</v>
      </c>
      <c r="E12" s="187">
        <v>134000</v>
      </c>
      <c r="F12" s="187">
        <v>1644762</v>
      </c>
      <c r="G12" s="187">
        <v>381875</v>
      </c>
      <c r="H12" s="187">
        <v>300390</v>
      </c>
      <c r="I12" s="187">
        <v>584250</v>
      </c>
      <c r="J12" s="187">
        <v>1239450</v>
      </c>
      <c r="K12" s="187">
        <v>792265.6</v>
      </c>
      <c r="L12" s="187">
        <v>0</v>
      </c>
      <c r="M12" s="187">
        <v>1197500</v>
      </c>
      <c r="N12" s="187">
        <v>3029500</v>
      </c>
      <c r="O12" s="408">
        <f>SUM(C12:N12)</f>
        <v>10008958.6</v>
      </c>
      <c r="P12" s="432"/>
      <c r="Q12" s="432"/>
      <c r="R12" s="433"/>
    </row>
    <row r="13" spans="1:18" s="409" customFormat="1" ht="21" x14ac:dyDescent="0.45">
      <c r="A13" s="311">
        <v>7</v>
      </c>
      <c r="B13" s="410" t="s">
        <v>1229</v>
      </c>
      <c r="C13" s="411">
        <v>0</v>
      </c>
      <c r="D13" s="411">
        <v>0</v>
      </c>
      <c r="E13" s="411">
        <v>0</v>
      </c>
      <c r="F13" s="411">
        <v>0</v>
      </c>
      <c r="G13" s="187">
        <v>168150</v>
      </c>
      <c r="H13" s="187">
        <v>357613</v>
      </c>
      <c r="I13" s="187"/>
      <c r="J13" s="187"/>
      <c r="K13" s="187"/>
      <c r="L13" s="187"/>
      <c r="M13" s="187">
        <v>10000</v>
      </c>
      <c r="N13" s="187"/>
      <c r="O13" s="408">
        <f>SUM(C13:N13)</f>
        <v>535763</v>
      </c>
      <c r="P13" s="432"/>
      <c r="Q13" s="432"/>
      <c r="R13" s="433"/>
    </row>
    <row r="14" spans="1:18" s="409" customFormat="1" ht="21" x14ac:dyDescent="0.45">
      <c r="A14" s="311">
        <v>8</v>
      </c>
      <c r="B14" s="308" t="s">
        <v>19</v>
      </c>
      <c r="C14" s="187">
        <v>171000</v>
      </c>
      <c r="D14" s="187">
        <v>0</v>
      </c>
      <c r="E14" s="187">
        <v>0</v>
      </c>
      <c r="F14" s="187">
        <v>0</v>
      </c>
      <c r="G14" s="187">
        <v>114000</v>
      </c>
      <c r="H14" s="187">
        <v>150000</v>
      </c>
      <c r="I14" s="187">
        <v>285000</v>
      </c>
      <c r="J14" s="187">
        <v>234000</v>
      </c>
      <c r="K14" s="187">
        <v>30000</v>
      </c>
      <c r="L14" s="187">
        <v>1342000</v>
      </c>
      <c r="M14" s="187">
        <v>0</v>
      </c>
      <c r="N14" s="187">
        <v>831400</v>
      </c>
      <c r="O14" s="408">
        <f>SUM(C14:N14)</f>
        <v>3157400</v>
      </c>
      <c r="P14" s="432"/>
      <c r="Q14" s="432"/>
      <c r="R14" s="433"/>
    </row>
    <row r="15" spans="1:18" s="409" customFormat="1" ht="21" x14ac:dyDescent="0.45">
      <c r="A15" s="311">
        <v>9</v>
      </c>
      <c r="B15" s="308" t="s">
        <v>117</v>
      </c>
      <c r="C15" s="187">
        <v>543050</v>
      </c>
      <c r="D15" s="187">
        <v>817000</v>
      </c>
      <c r="E15" s="187">
        <v>232000</v>
      </c>
      <c r="F15" s="187">
        <v>39000</v>
      </c>
      <c r="G15" s="187">
        <v>0</v>
      </c>
      <c r="H15" s="187">
        <v>0</v>
      </c>
      <c r="I15" s="187">
        <v>39000</v>
      </c>
      <c r="J15" s="187">
        <v>133000</v>
      </c>
      <c r="K15" s="187">
        <v>190000</v>
      </c>
      <c r="L15" s="187">
        <v>20000</v>
      </c>
      <c r="M15" s="187">
        <v>0</v>
      </c>
      <c r="N15" s="187">
        <v>2620000</v>
      </c>
      <c r="O15" s="408">
        <f>SUM(C15:N15)</f>
        <v>4633050</v>
      </c>
      <c r="P15" s="432"/>
      <c r="Q15" s="432"/>
      <c r="R15" s="433"/>
    </row>
    <row r="16" spans="1:18" s="409" customFormat="1" ht="21" x14ac:dyDescent="0.45">
      <c r="A16" s="311">
        <v>10</v>
      </c>
      <c r="B16" s="410" t="s">
        <v>2818</v>
      </c>
      <c r="C16" s="411">
        <v>0</v>
      </c>
      <c r="D16" s="411">
        <v>0</v>
      </c>
      <c r="E16" s="411">
        <v>0</v>
      </c>
      <c r="F16" s="411">
        <v>0</v>
      </c>
      <c r="G16" s="187">
        <v>0</v>
      </c>
      <c r="H16" s="187">
        <v>0</v>
      </c>
      <c r="I16" s="187">
        <v>0</v>
      </c>
      <c r="J16" s="187">
        <v>0</v>
      </c>
      <c r="K16" s="187">
        <v>0</v>
      </c>
      <c r="L16" s="187">
        <v>0</v>
      </c>
      <c r="M16" s="187">
        <v>0</v>
      </c>
      <c r="N16" s="187">
        <v>1269250</v>
      </c>
      <c r="O16" s="408">
        <f>SUM(C16:N16)</f>
        <v>1269250</v>
      </c>
      <c r="P16" s="432"/>
      <c r="Q16" s="432"/>
      <c r="R16" s="433"/>
    </row>
    <row r="17" spans="1:18" s="409" customFormat="1" ht="21" x14ac:dyDescent="0.45">
      <c r="A17" s="311">
        <v>11</v>
      </c>
      <c r="B17" s="308" t="s">
        <v>706</v>
      </c>
      <c r="C17" s="187">
        <v>751732</v>
      </c>
      <c r="D17" s="187">
        <v>0</v>
      </c>
      <c r="E17" s="187">
        <v>0</v>
      </c>
      <c r="F17" s="187">
        <v>0</v>
      </c>
      <c r="G17" s="187">
        <v>60000</v>
      </c>
      <c r="H17" s="187">
        <v>0</v>
      </c>
      <c r="I17" s="187">
        <v>0</v>
      </c>
      <c r="J17" s="187">
        <v>0</v>
      </c>
      <c r="K17" s="187">
        <v>0</v>
      </c>
      <c r="L17" s="187">
        <v>0</v>
      </c>
      <c r="M17" s="187">
        <v>0</v>
      </c>
      <c r="N17" s="187">
        <v>935800</v>
      </c>
      <c r="O17" s="408">
        <f t="shared" ref="O17:O22" si="0">SUM(C17:N17)</f>
        <v>1747532</v>
      </c>
      <c r="P17" s="432"/>
      <c r="Q17" s="432"/>
      <c r="R17" s="433"/>
    </row>
    <row r="18" spans="1:18" s="409" customFormat="1" ht="21" x14ac:dyDescent="0.45">
      <c r="A18" s="311">
        <v>12</v>
      </c>
      <c r="B18" s="410" t="s">
        <v>923</v>
      </c>
      <c r="C18" s="411">
        <v>0</v>
      </c>
      <c r="D18" s="411">
        <v>0</v>
      </c>
      <c r="E18" s="411">
        <v>0</v>
      </c>
      <c r="F18" s="411">
        <v>309000</v>
      </c>
      <c r="G18" s="187">
        <v>0</v>
      </c>
      <c r="H18" s="187">
        <v>0</v>
      </c>
      <c r="I18" s="187">
        <v>0</v>
      </c>
      <c r="J18" s="187">
        <v>0</v>
      </c>
      <c r="K18" s="187">
        <v>0</v>
      </c>
      <c r="L18" s="187">
        <v>0</v>
      </c>
      <c r="M18" s="187">
        <v>0</v>
      </c>
      <c r="N18" s="187">
        <v>0</v>
      </c>
      <c r="O18" s="408">
        <f t="shared" si="0"/>
        <v>309000</v>
      </c>
      <c r="P18" s="432"/>
      <c r="Q18" s="432"/>
      <c r="R18" s="433"/>
    </row>
    <row r="19" spans="1:18" s="409" customFormat="1" ht="21" x14ac:dyDescent="0.45">
      <c r="A19" s="311">
        <v>13</v>
      </c>
      <c r="B19" s="410" t="s">
        <v>2554</v>
      </c>
      <c r="C19" s="411">
        <v>0</v>
      </c>
      <c r="D19" s="411">
        <v>0</v>
      </c>
      <c r="E19" s="411">
        <v>0</v>
      </c>
      <c r="F19" s="411">
        <v>1290960</v>
      </c>
      <c r="G19" s="187">
        <v>0</v>
      </c>
      <c r="H19" s="187">
        <v>1012800</v>
      </c>
      <c r="I19" s="187">
        <v>0</v>
      </c>
      <c r="J19" s="187">
        <v>0</v>
      </c>
      <c r="K19" s="187">
        <v>781500</v>
      </c>
      <c r="L19" s="187">
        <v>0</v>
      </c>
      <c r="M19" s="187">
        <v>620000</v>
      </c>
      <c r="N19" s="187">
        <v>4538070</v>
      </c>
      <c r="O19" s="408">
        <f>SUM(C19:N19)</f>
        <v>8243330</v>
      </c>
      <c r="P19" s="432"/>
      <c r="Q19" s="432"/>
      <c r="R19" s="433"/>
    </row>
    <row r="20" spans="1:18" s="409" customFormat="1" ht="21" x14ac:dyDescent="0.45">
      <c r="A20" s="311">
        <v>14</v>
      </c>
      <c r="B20" s="308" t="s">
        <v>2149</v>
      </c>
      <c r="C20" s="187">
        <v>100000</v>
      </c>
      <c r="D20" s="187">
        <v>234000</v>
      </c>
      <c r="E20" s="187">
        <v>0</v>
      </c>
      <c r="F20" s="187">
        <v>0</v>
      </c>
      <c r="G20" s="187">
        <v>350000</v>
      </c>
      <c r="H20" s="187">
        <v>0</v>
      </c>
      <c r="I20" s="187">
        <v>0</v>
      </c>
      <c r="J20" s="187">
        <v>0</v>
      </c>
      <c r="K20" s="187">
        <v>0</v>
      </c>
      <c r="L20" s="187">
        <v>0</v>
      </c>
      <c r="M20" s="187">
        <v>0</v>
      </c>
      <c r="N20" s="187">
        <v>0</v>
      </c>
      <c r="O20" s="408">
        <f t="shared" si="0"/>
        <v>684000</v>
      </c>
      <c r="P20" s="432"/>
      <c r="Q20" s="432"/>
      <c r="R20" s="433"/>
    </row>
    <row r="21" spans="1:18" s="409" customFormat="1" ht="21" x14ac:dyDescent="0.45">
      <c r="A21" s="311">
        <v>15</v>
      </c>
      <c r="B21" s="410" t="s">
        <v>2467</v>
      </c>
      <c r="C21" s="411">
        <v>0</v>
      </c>
      <c r="D21" s="411">
        <v>205000</v>
      </c>
      <c r="E21" s="187">
        <v>0</v>
      </c>
      <c r="F21" s="187">
        <v>545800</v>
      </c>
      <c r="G21" s="187">
        <v>0</v>
      </c>
      <c r="H21" s="187">
        <v>0</v>
      </c>
      <c r="I21" s="187">
        <v>0</v>
      </c>
      <c r="J21" s="187">
        <v>0</v>
      </c>
      <c r="K21" s="187">
        <v>0</v>
      </c>
      <c r="L21" s="187">
        <v>0</v>
      </c>
      <c r="M21" s="187">
        <v>0</v>
      </c>
      <c r="N21" s="187">
        <v>435000</v>
      </c>
      <c r="O21" s="408">
        <f t="shared" si="0"/>
        <v>1185800</v>
      </c>
      <c r="P21" s="432"/>
      <c r="Q21" s="432"/>
      <c r="R21" s="433"/>
    </row>
    <row r="22" spans="1:18" s="409" customFormat="1" ht="21" x14ac:dyDescent="0.45">
      <c r="A22" s="311">
        <v>16</v>
      </c>
      <c r="B22" s="308" t="s">
        <v>2555</v>
      </c>
      <c r="C22" s="411">
        <v>0</v>
      </c>
      <c r="D22" s="411">
        <v>0</v>
      </c>
      <c r="E22" s="411">
        <v>0</v>
      </c>
      <c r="F22" s="411">
        <v>0</v>
      </c>
      <c r="G22" s="411">
        <v>4407293.5</v>
      </c>
      <c r="H22" s="187">
        <v>0</v>
      </c>
      <c r="I22" s="187">
        <v>0</v>
      </c>
      <c r="J22" s="187">
        <v>0</v>
      </c>
      <c r="K22" s="187">
        <v>0</v>
      </c>
      <c r="L22" s="187">
        <v>0</v>
      </c>
      <c r="M22" s="187">
        <v>0</v>
      </c>
      <c r="N22" s="187">
        <v>0</v>
      </c>
      <c r="O22" s="408">
        <f t="shared" si="0"/>
        <v>4407293.5</v>
      </c>
      <c r="P22" s="432"/>
      <c r="Q22" s="432"/>
      <c r="R22" s="433"/>
    </row>
    <row r="23" spans="1:18" s="414" customFormat="1" ht="21.75" thickBot="1" x14ac:dyDescent="0.5">
      <c r="A23" s="483" t="s">
        <v>1919</v>
      </c>
      <c r="B23" s="484"/>
      <c r="C23" s="412">
        <f t="shared" ref="C23:O23" si="1">SUM(C7:C22)</f>
        <v>2737282</v>
      </c>
      <c r="D23" s="412">
        <f t="shared" si="1"/>
        <v>1873666</v>
      </c>
      <c r="E23" s="412">
        <f t="shared" si="1"/>
        <v>381877</v>
      </c>
      <c r="F23" s="412">
        <f t="shared" si="1"/>
        <v>6756542</v>
      </c>
      <c r="G23" s="412">
        <f t="shared" si="1"/>
        <v>5785318.5</v>
      </c>
      <c r="H23" s="412">
        <f t="shared" si="1"/>
        <v>2948190</v>
      </c>
      <c r="I23" s="412">
        <f t="shared" si="1"/>
        <v>1439775</v>
      </c>
      <c r="J23" s="412">
        <f t="shared" si="1"/>
        <v>1628950</v>
      </c>
      <c r="K23" s="412">
        <f t="shared" si="1"/>
        <v>1879455.6</v>
      </c>
      <c r="L23" s="412">
        <f t="shared" si="1"/>
        <v>2119490</v>
      </c>
      <c r="M23" s="412">
        <f t="shared" si="1"/>
        <v>2056600</v>
      </c>
      <c r="N23" s="412">
        <f t="shared" si="1"/>
        <v>21549166</v>
      </c>
      <c r="O23" s="413">
        <f t="shared" si="1"/>
        <v>51156312.100000001</v>
      </c>
      <c r="P23" s="434"/>
      <c r="Q23" s="434"/>
      <c r="R23" s="433"/>
    </row>
    <row r="24" spans="1:18" s="414" customFormat="1" ht="21.75" thickTop="1" x14ac:dyDescent="0.45">
      <c r="A24" s="415"/>
      <c r="B24" s="415"/>
      <c r="C24" s="416"/>
      <c r="D24" s="416"/>
      <c r="E24" s="416"/>
      <c r="F24" s="416"/>
      <c r="G24" s="416"/>
      <c r="H24" s="416"/>
      <c r="I24" s="416"/>
      <c r="J24" s="416"/>
      <c r="K24" s="416"/>
      <c r="L24" s="416"/>
      <c r="M24" s="416"/>
      <c r="N24" s="416"/>
      <c r="O24" s="416"/>
    </row>
  </sheetData>
  <mergeCells count="8">
    <mergeCell ref="A23:B23"/>
    <mergeCell ref="A1:O1"/>
    <mergeCell ref="A2:O2"/>
    <mergeCell ref="A3:O3"/>
    <mergeCell ref="A5:A6"/>
    <mergeCell ref="B5:B6"/>
    <mergeCell ref="C5:N5"/>
    <mergeCell ref="O5:O6"/>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1"/>
  <sheetViews>
    <sheetView topLeftCell="A118" workbookViewId="0">
      <selection activeCell="A3" sqref="A3:O3"/>
    </sheetView>
  </sheetViews>
  <sheetFormatPr defaultRowHeight="19.5" x14ac:dyDescent="0.45"/>
  <cols>
    <col min="1" max="1" width="4.625" style="245" customWidth="1"/>
    <col min="2" max="2" width="9.125" style="271" customWidth="1"/>
    <col min="3" max="3" width="10.625" style="245" customWidth="1"/>
    <col min="4" max="4" width="16.625" style="245" customWidth="1"/>
    <col min="5" max="5" width="22.625" style="247" customWidth="1"/>
    <col min="6" max="7" width="17.125" style="206" customWidth="1"/>
    <col min="8" max="8" width="28.125" style="206"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560" t="s">
        <v>250</v>
      </c>
      <c r="B1" s="560"/>
      <c r="C1" s="560"/>
      <c r="D1" s="560"/>
      <c r="E1" s="560"/>
      <c r="F1" s="560"/>
      <c r="G1" s="560"/>
      <c r="H1" s="560"/>
      <c r="I1" s="560"/>
      <c r="J1" s="560"/>
      <c r="K1" s="560"/>
      <c r="L1" s="560"/>
      <c r="M1" s="560"/>
      <c r="N1" s="560"/>
      <c r="O1" s="560"/>
    </row>
    <row r="2" spans="1:16" ht="21" x14ac:dyDescent="0.45">
      <c r="A2" s="560" t="s">
        <v>251</v>
      </c>
      <c r="B2" s="560"/>
      <c r="C2" s="560"/>
      <c r="D2" s="560"/>
      <c r="E2" s="560"/>
      <c r="F2" s="560"/>
      <c r="G2" s="560"/>
      <c r="H2" s="560"/>
      <c r="I2" s="560"/>
      <c r="J2" s="560"/>
      <c r="K2" s="560"/>
      <c r="L2" s="560"/>
      <c r="M2" s="560"/>
      <c r="N2" s="560"/>
      <c r="O2" s="560"/>
    </row>
    <row r="3" spans="1:16" ht="21" x14ac:dyDescent="0.45">
      <c r="A3" s="560" t="s">
        <v>1285</v>
      </c>
      <c r="B3" s="560"/>
      <c r="C3" s="560"/>
      <c r="D3" s="560"/>
      <c r="E3" s="560"/>
      <c r="F3" s="560"/>
      <c r="G3" s="560"/>
      <c r="H3" s="560"/>
      <c r="I3" s="560"/>
      <c r="J3" s="560"/>
      <c r="K3" s="560"/>
      <c r="L3" s="560"/>
      <c r="M3" s="560"/>
      <c r="N3" s="560"/>
      <c r="O3" s="560"/>
    </row>
    <row r="4" spans="1:16" s="210" customFormat="1" ht="20.25" thickBot="1" x14ac:dyDescent="0.5">
      <c r="A4" s="207"/>
      <c r="B4" s="250"/>
      <c r="C4" s="207"/>
      <c r="D4" s="207"/>
      <c r="E4" s="209"/>
      <c r="I4" s="211"/>
    </row>
    <row r="5" spans="1:16" s="213" customFormat="1" ht="18.75" x14ac:dyDescent="0.4">
      <c r="A5" s="561" t="s">
        <v>253</v>
      </c>
      <c r="B5" s="563" t="s">
        <v>254</v>
      </c>
      <c r="C5" s="564"/>
      <c r="D5" s="564"/>
      <c r="E5" s="564"/>
      <c r="F5" s="564"/>
      <c r="G5" s="564"/>
      <c r="H5" s="564"/>
      <c r="I5" s="565"/>
      <c r="J5" s="566" t="s">
        <v>255</v>
      </c>
      <c r="K5" s="567"/>
      <c r="L5" s="567"/>
      <c r="M5" s="567"/>
      <c r="N5" s="568"/>
      <c r="O5" s="569" t="s">
        <v>256</v>
      </c>
      <c r="P5" s="212"/>
    </row>
    <row r="6" spans="1:16" s="214" customFormat="1" ht="18.75" x14ac:dyDescent="0.2">
      <c r="A6" s="562"/>
      <c r="B6" s="584" t="s">
        <v>257</v>
      </c>
      <c r="C6" s="585" t="s">
        <v>2</v>
      </c>
      <c r="D6" s="585" t="s">
        <v>258</v>
      </c>
      <c r="E6" s="586" t="s">
        <v>259</v>
      </c>
      <c r="F6" s="585" t="s">
        <v>260</v>
      </c>
      <c r="G6" s="585" t="s">
        <v>261</v>
      </c>
      <c r="H6" s="585" t="s">
        <v>262</v>
      </c>
      <c r="I6" s="577" t="s">
        <v>263</v>
      </c>
      <c r="J6" s="557" t="s">
        <v>264</v>
      </c>
      <c r="K6" s="558"/>
      <c r="L6" s="557" t="s">
        <v>265</v>
      </c>
      <c r="M6" s="558"/>
      <c r="N6" s="575"/>
      <c r="O6" s="570"/>
    </row>
    <row r="7" spans="1:16" s="213" customFormat="1" ht="75" x14ac:dyDescent="0.4">
      <c r="A7" s="582"/>
      <c r="B7" s="584"/>
      <c r="C7" s="585"/>
      <c r="D7" s="585"/>
      <c r="E7" s="587"/>
      <c r="F7" s="585"/>
      <c r="G7" s="585"/>
      <c r="H7" s="585"/>
      <c r="I7" s="577"/>
      <c r="J7" s="215" t="s">
        <v>266</v>
      </c>
      <c r="K7" s="215" t="s">
        <v>267</v>
      </c>
      <c r="L7" s="215" t="s">
        <v>266</v>
      </c>
      <c r="M7" s="215" t="s">
        <v>267</v>
      </c>
      <c r="N7" s="215" t="s">
        <v>894</v>
      </c>
      <c r="O7" s="583"/>
      <c r="P7" s="212"/>
    </row>
    <row r="8" spans="1:16" x14ac:dyDescent="0.45">
      <c r="A8" s="216" t="s">
        <v>526</v>
      </c>
      <c r="B8" s="251"/>
      <c r="C8" s="217"/>
      <c r="D8" s="217"/>
      <c r="E8" s="218"/>
      <c r="F8" s="219"/>
      <c r="G8" s="219"/>
      <c r="H8" s="219"/>
      <c r="I8" s="220">
        <f t="shared" ref="I8:O8" si="0">SUM(I9:I9)</f>
        <v>26600</v>
      </c>
      <c r="J8" s="220">
        <f t="shared" si="0"/>
        <v>0</v>
      </c>
      <c r="K8" s="220">
        <f t="shared" si="0"/>
        <v>0</v>
      </c>
      <c r="L8" s="220">
        <f t="shared" si="0"/>
        <v>13300</v>
      </c>
      <c r="M8" s="220">
        <f t="shared" si="0"/>
        <v>13300</v>
      </c>
      <c r="N8" s="220">
        <f t="shared" si="0"/>
        <v>0</v>
      </c>
      <c r="O8" s="234">
        <f t="shared" si="0"/>
        <v>0</v>
      </c>
    </row>
    <row r="9" spans="1:16" s="228" customFormat="1" ht="117" x14ac:dyDescent="0.2">
      <c r="A9" s="221">
        <v>1</v>
      </c>
      <c r="B9" s="252" t="s">
        <v>1286</v>
      </c>
      <c r="C9" s="229" t="s">
        <v>1287</v>
      </c>
      <c r="D9" s="222" t="s">
        <v>1288</v>
      </c>
      <c r="E9" s="223" t="s">
        <v>1289</v>
      </c>
      <c r="F9" s="223" t="s">
        <v>923</v>
      </c>
      <c r="G9" s="223" t="s">
        <v>1103</v>
      </c>
      <c r="H9" s="224" t="s">
        <v>1290</v>
      </c>
      <c r="I9" s="225">
        <v>26600</v>
      </c>
      <c r="J9" s="226">
        <v>0</v>
      </c>
      <c r="K9" s="226">
        <v>0</v>
      </c>
      <c r="L9" s="226">
        <v>13300</v>
      </c>
      <c r="M9" s="226">
        <v>13300</v>
      </c>
      <c r="N9" s="226">
        <v>0</v>
      </c>
      <c r="O9" s="253">
        <f t="shared" ref="O9:O87" si="1">+I9-(SUM(J9:N9))</f>
        <v>0</v>
      </c>
    </row>
    <row r="10" spans="1:16" x14ac:dyDescent="0.45">
      <c r="A10" s="216" t="s">
        <v>269</v>
      </c>
      <c r="B10" s="251"/>
      <c r="C10" s="217"/>
      <c r="D10" s="217"/>
      <c r="E10" s="218"/>
      <c r="F10" s="219"/>
      <c r="G10" s="219"/>
      <c r="H10" s="219"/>
      <c r="I10" s="220">
        <f>SUM(I11:I59)</f>
        <v>10809491</v>
      </c>
      <c r="J10" s="220">
        <f t="shared" ref="J10:O10" si="2">SUM(J11:J59)</f>
        <v>617755.1</v>
      </c>
      <c r="K10" s="220">
        <f t="shared" si="2"/>
        <v>617755.1</v>
      </c>
      <c r="L10" s="220">
        <f t="shared" si="2"/>
        <v>56078.32</v>
      </c>
      <c r="M10" s="220">
        <f t="shared" si="2"/>
        <v>56078.32</v>
      </c>
      <c r="N10" s="220">
        <f t="shared" si="2"/>
        <v>0</v>
      </c>
      <c r="O10" s="220">
        <f t="shared" si="2"/>
        <v>9461824.1600000001</v>
      </c>
    </row>
    <row r="11" spans="1:16" s="228" customFormat="1" ht="97.5" x14ac:dyDescent="0.2">
      <c r="A11" s="221">
        <v>1</v>
      </c>
      <c r="B11" s="252" t="s">
        <v>1291</v>
      </c>
      <c r="C11" s="229" t="s">
        <v>1292</v>
      </c>
      <c r="D11" s="222" t="s">
        <v>1293</v>
      </c>
      <c r="E11" s="223" t="s">
        <v>115</v>
      </c>
      <c r="F11" s="223" t="s">
        <v>117</v>
      </c>
      <c r="G11" s="223" t="s">
        <v>1294</v>
      </c>
      <c r="H11" s="224" t="s">
        <v>545</v>
      </c>
      <c r="I11" s="225">
        <v>1034000</v>
      </c>
      <c r="J11" s="226">
        <v>51700</v>
      </c>
      <c r="K11" s="226">
        <v>51700</v>
      </c>
      <c r="L11" s="226">
        <v>0</v>
      </c>
      <c r="M11" s="226">
        <v>0</v>
      </c>
      <c r="N11" s="233">
        <v>0</v>
      </c>
      <c r="O11" s="253">
        <f t="shared" si="1"/>
        <v>930600</v>
      </c>
    </row>
    <row r="12" spans="1:16" s="228" customFormat="1" ht="97.5" x14ac:dyDescent="0.2">
      <c r="A12" s="221">
        <v>2</v>
      </c>
      <c r="B12" s="252" t="s">
        <v>1295</v>
      </c>
      <c r="C12" s="229" t="s">
        <v>1296</v>
      </c>
      <c r="D12" s="222" t="s">
        <v>1297</v>
      </c>
      <c r="E12" s="223" t="s">
        <v>115</v>
      </c>
      <c r="F12" s="223" t="s">
        <v>117</v>
      </c>
      <c r="G12" s="223" t="s">
        <v>322</v>
      </c>
      <c r="H12" s="224" t="s">
        <v>545</v>
      </c>
      <c r="I12" s="225">
        <v>398000</v>
      </c>
      <c r="J12" s="226">
        <v>19900</v>
      </c>
      <c r="K12" s="226">
        <v>19900</v>
      </c>
      <c r="L12" s="226">
        <v>0</v>
      </c>
      <c r="M12" s="226">
        <v>0</v>
      </c>
      <c r="N12" s="233">
        <v>0</v>
      </c>
      <c r="O12" s="227">
        <f t="shared" si="1"/>
        <v>358200</v>
      </c>
    </row>
    <row r="13" spans="1:16" s="228" customFormat="1" ht="155.25" x14ac:dyDescent="0.2">
      <c r="A13" s="221">
        <v>3</v>
      </c>
      <c r="B13" s="254" t="s">
        <v>1295</v>
      </c>
      <c r="C13" s="249" t="s">
        <v>1298</v>
      </c>
      <c r="D13" s="230" t="s">
        <v>1299</v>
      </c>
      <c r="E13" s="231" t="s">
        <v>1300</v>
      </c>
      <c r="F13" s="231" t="s">
        <v>161</v>
      </c>
      <c r="G13" s="231" t="s">
        <v>1301</v>
      </c>
      <c r="H13" s="232" t="s">
        <v>1302</v>
      </c>
      <c r="I13" s="226">
        <v>54280</v>
      </c>
      <c r="J13" s="226">
        <v>0</v>
      </c>
      <c r="K13" s="226">
        <v>0</v>
      </c>
      <c r="L13" s="226">
        <v>27140</v>
      </c>
      <c r="M13" s="226">
        <v>27140</v>
      </c>
      <c r="N13" s="233">
        <v>0</v>
      </c>
      <c r="O13" s="227">
        <f t="shared" si="1"/>
        <v>0</v>
      </c>
    </row>
    <row r="14" spans="1:16" s="228" customFormat="1" ht="117" x14ac:dyDescent="0.2">
      <c r="A14" s="221">
        <v>4</v>
      </c>
      <c r="B14" s="254" t="s">
        <v>1303</v>
      </c>
      <c r="C14" s="249" t="s">
        <v>1304</v>
      </c>
      <c r="D14" s="230" t="s">
        <v>1305</v>
      </c>
      <c r="E14" s="231" t="s">
        <v>595</v>
      </c>
      <c r="F14" s="231" t="s">
        <v>161</v>
      </c>
      <c r="G14" s="231" t="s">
        <v>596</v>
      </c>
      <c r="H14" s="232" t="s">
        <v>1306</v>
      </c>
      <c r="I14" s="226">
        <v>150000</v>
      </c>
      <c r="J14" s="226">
        <v>7500</v>
      </c>
      <c r="K14" s="226">
        <v>7500</v>
      </c>
      <c r="L14" s="226">
        <v>0</v>
      </c>
      <c r="M14" s="226">
        <v>0</v>
      </c>
      <c r="N14" s="233">
        <v>0</v>
      </c>
      <c r="O14" s="227">
        <f t="shared" si="1"/>
        <v>135000</v>
      </c>
    </row>
    <row r="15" spans="1:16" s="228" customFormat="1" ht="97.5" x14ac:dyDescent="0.2">
      <c r="A15" s="221">
        <v>5</v>
      </c>
      <c r="B15" s="254" t="s">
        <v>1307</v>
      </c>
      <c r="C15" s="249" t="s">
        <v>1308</v>
      </c>
      <c r="D15" s="230" t="s">
        <v>1309</v>
      </c>
      <c r="E15" s="231" t="s">
        <v>115</v>
      </c>
      <c r="F15" s="231" t="s">
        <v>117</v>
      </c>
      <c r="G15" s="231" t="s">
        <v>289</v>
      </c>
      <c r="H15" s="232" t="s">
        <v>545</v>
      </c>
      <c r="I15" s="226">
        <v>89000</v>
      </c>
      <c r="J15" s="226">
        <v>4450</v>
      </c>
      <c r="K15" s="226">
        <v>4450</v>
      </c>
      <c r="L15" s="226">
        <v>0</v>
      </c>
      <c r="M15" s="226">
        <v>0</v>
      </c>
      <c r="N15" s="233">
        <v>0</v>
      </c>
      <c r="O15" s="227">
        <f t="shared" si="1"/>
        <v>80100</v>
      </c>
    </row>
    <row r="16" spans="1:16" s="228" customFormat="1" ht="97.5" x14ac:dyDescent="0.2">
      <c r="A16" s="221">
        <v>6</v>
      </c>
      <c r="B16" s="254" t="s">
        <v>1310</v>
      </c>
      <c r="C16" s="249" t="s">
        <v>1311</v>
      </c>
      <c r="D16" s="230" t="s">
        <v>1312</v>
      </c>
      <c r="E16" s="231" t="s">
        <v>115</v>
      </c>
      <c r="F16" s="231" t="s">
        <v>117</v>
      </c>
      <c r="G16" s="231" t="s">
        <v>1313</v>
      </c>
      <c r="H16" s="232" t="s">
        <v>545</v>
      </c>
      <c r="I16" s="226">
        <v>628000</v>
      </c>
      <c r="J16" s="226">
        <v>31400</v>
      </c>
      <c r="K16" s="226">
        <v>31400</v>
      </c>
      <c r="L16" s="226">
        <v>0</v>
      </c>
      <c r="M16" s="226">
        <v>0</v>
      </c>
      <c r="N16" s="255"/>
      <c r="O16" s="227">
        <f t="shared" si="1"/>
        <v>565200</v>
      </c>
    </row>
    <row r="17" spans="1:15" s="228" customFormat="1" ht="97.5" x14ac:dyDescent="0.2">
      <c r="A17" s="221">
        <v>7</v>
      </c>
      <c r="B17" s="254" t="s">
        <v>1314</v>
      </c>
      <c r="C17" s="249" t="s">
        <v>1315</v>
      </c>
      <c r="D17" s="230" t="s">
        <v>1316</v>
      </c>
      <c r="E17" s="231" t="s">
        <v>115</v>
      </c>
      <c r="F17" s="231" t="s">
        <v>117</v>
      </c>
      <c r="G17" s="231" t="s">
        <v>575</v>
      </c>
      <c r="H17" s="232" t="s">
        <v>545</v>
      </c>
      <c r="I17" s="226">
        <v>341000</v>
      </c>
      <c r="J17" s="226">
        <v>17050</v>
      </c>
      <c r="K17" s="226">
        <v>17050</v>
      </c>
      <c r="L17" s="226">
        <v>0</v>
      </c>
      <c r="M17" s="226">
        <v>0</v>
      </c>
      <c r="N17" s="233">
        <v>0</v>
      </c>
      <c r="O17" s="227">
        <f t="shared" si="1"/>
        <v>306900</v>
      </c>
    </row>
    <row r="18" spans="1:15" s="228" customFormat="1" ht="117" x14ac:dyDescent="0.2">
      <c r="A18" s="221">
        <v>8</v>
      </c>
      <c r="B18" s="254" t="s">
        <v>1317</v>
      </c>
      <c r="C18" s="249" t="s">
        <v>1318</v>
      </c>
      <c r="D18" s="230" t="s">
        <v>1319</v>
      </c>
      <c r="E18" s="231" t="s">
        <v>605</v>
      </c>
      <c r="F18" s="231" t="s">
        <v>360</v>
      </c>
      <c r="G18" s="231" t="s">
        <v>606</v>
      </c>
      <c r="H18" s="232" t="s">
        <v>1320</v>
      </c>
      <c r="I18" s="226">
        <v>209000</v>
      </c>
      <c r="J18" s="226">
        <v>0</v>
      </c>
      <c r="K18" s="226">
        <v>0</v>
      </c>
      <c r="L18" s="226">
        <v>1382</v>
      </c>
      <c r="M18" s="226">
        <v>1382</v>
      </c>
      <c r="N18" s="233">
        <v>0</v>
      </c>
      <c r="O18" s="227">
        <f t="shared" si="1"/>
        <v>206236</v>
      </c>
    </row>
    <row r="19" spans="1:15" s="228" customFormat="1" ht="97.5" x14ac:dyDescent="0.2">
      <c r="A19" s="221">
        <v>9</v>
      </c>
      <c r="B19" s="254" t="s">
        <v>1321</v>
      </c>
      <c r="C19" s="249" t="s">
        <v>1322</v>
      </c>
      <c r="D19" s="230" t="s">
        <v>1323</v>
      </c>
      <c r="E19" s="231" t="s">
        <v>115</v>
      </c>
      <c r="F19" s="231" t="s">
        <v>117</v>
      </c>
      <c r="G19" s="231" t="s">
        <v>345</v>
      </c>
      <c r="H19" s="232" t="s">
        <v>545</v>
      </c>
      <c r="I19" s="226">
        <v>158000</v>
      </c>
      <c r="J19" s="226">
        <v>7900</v>
      </c>
      <c r="K19" s="226">
        <v>7900</v>
      </c>
      <c r="L19" s="226">
        <v>0</v>
      </c>
      <c r="M19" s="226">
        <v>0</v>
      </c>
      <c r="N19" s="233">
        <v>0</v>
      </c>
      <c r="O19" s="227">
        <f t="shared" si="1"/>
        <v>142200</v>
      </c>
    </row>
    <row r="20" spans="1:15" s="228" customFormat="1" ht="97.5" x14ac:dyDescent="0.2">
      <c r="A20" s="221">
        <v>10</v>
      </c>
      <c r="B20" s="254" t="s">
        <v>1321</v>
      </c>
      <c r="C20" s="249" t="s">
        <v>1324</v>
      </c>
      <c r="D20" s="230" t="s">
        <v>1325</v>
      </c>
      <c r="E20" s="231" t="s">
        <v>115</v>
      </c>
      <c r="F20" s="231" t="s">
        <v>117</v>
      </c>
      <c r="G20" s="231" t="s">
        <v>303</v>
      </c>
      <c r="H20" s="232" t="s">
        <v>946</v>
      </c>
      <c r="I20" s="226">
        <v>2250</v>
      </c>
      <c r="J20" s="226">
        <v>0</v>
      </c>
      <c r="K20" s="226">
        <v>0</v>
      </c>
      <c r="L20" s="226">
        <v>0</v>
      </c>
      <c r="M20" s="226">
        <v>0</v>
      </c>
      <c r="N20" s="145" t="s">
        <v>311</v>
      </c>
      <c r="O20" s="227">
        <f t="shared" si="1"/>
        <v>2250</v>
      </c>
    </row>
    <row r="21" spans="1:15" s="228" customFormat="1" ht="97.5" x14ac:dyDescent="0.2">
      <c r="A21" s="221">
        <v>11</v>
      </c>
      <c r="B21" s="254" t="s">
        <v>1321</v>
      </c>
      <c r="C21" s="249" t="s">
        <v>1326</v>
      </c>
      <c r="D21" s="230" t="s">
        <v>1327</v>
      </c>
      <c r="E21" s="231" t="s">
        <v>115</v>
      </c>
      <c r="F21" s="231" t="s">
        <v>117</v>
      </c>
      <c r="G21" s="231" t="s">
        <v>345</v>
      </c>
      <c r="H21" s="232" t="s">
        <v>545</v>
      </c>
      <c r="I21" s="226">
        <v>145000</v>
      </c>
      <c r="J21" s="226">
        <v>7250</v>
      </c>
      <c r="K21" s="226">
        <v>7250</v>
      </c>
      <c r="L21" s="226">
        <v>0</v>
      </c>
      <c r="M21" s="226">
        <v>0</v>
      </c>
      <c r="N21" s="233">
        <v>0</v>
      </c>
      <c r="O21" s="227">
        <f t="shared" si="1"/>
        <v>130500</v>
      </c>
    </row>
    <row r="22" spans="1:15" s="228" customFormat="1" ht="117" x14ac:dyDescent="0.2">
      <c r="A22" s="221">
        <v>12</v>
      </c>
      <c r="B22" s="254" t="s">
        <v>1321</v>
      </c>
      <c r="C22" s="230" t="s">
        <v>1328</v>
      </c>
      <c r="D22" s="230" t="s">
        <v>1329</v>
      </c>
      <c r="E22" s="231" t="s">
        <v>302</v>
      </c>
      <c r="F22" s="231" t="s">
        <v>117</v>
      </c>
      <c r="G22" s="231" t="s">
        <v>326</v>
      </c>
      <c r="H22" s="232" t="s">
        <v>1330</v>
      </c>
      <c r="I22" s="226">
        <v>60000</v>
      </c>
      <c r="J22" s="226">
        <v>3000</v>
      </c>
      <c r="K22" s="226">
        <v>3000</v>
      </c>
      <c r="L22" s="226">
        <v>0</v>
      </c>
      <c r="M22" s="226">
        <v>0</v>
      </c>
      <c r="N22" s="233">
        <v>0</v>
      </c>
      <c r="O22" s="227">
        <f t="shared" si="1"/>
        <v>54000</v>
      </c>
    </row>
    <row r="23" spans="1:15" s="228" customFormat="1" ht="232.5" x14ac:dyDescent="0.2">
      <c r="A23" s="221">
        <v>13</v>
      </c>
      <c r="B23" s="254" t="s">
        <v>1331</v>
      </c>
      <c r="C23" s="249" t="s">
        <v>1332</v>
      </c>
      <c r="D23" s="230" t="s">
        <v>1333</v>
      </c>
      <c r="E23" s="231" t="s">
        <v>1334</v>
      </c>
      <c r="F23" s="231" t="s">
        <v>1335</v>
      </c>
      <c r="G23" s="231" t="s">
        <v>361</v>
      </c>
      <c r="H23" s="232" t="s">
        <v>1336</v>
      </c>
      <c r="I23" s="226">
        <v>29000</v>
      </c>
      <c r="J23" s="226">
        <v>14500</v>
      </c>
      <c r="K23" s="226">
        <v>14500</v>
      </c>
      <c r="L23" s="226">
        <v>0</v>
      </c>
      <c r="M23" s="226">
        <v>0</v>
      </c>
      <c r="N23" s="233">
        <v>0</v>
      </c>
      <c r="O23" s="227">
        <f t="shared" si="1"/>
        <v>0</v>
      </c>
    </row>
    <row r="24" spans="1:15" s="228" customFormat="1" ht="97.5" x14ac:dyDescent="0.2">
      <c r="A24" s="221">
        <v>14</v>
      </c>
      <c r="B24" s="254" t="s">
        <v>1331</v>
      </c>
      <c r="C24" s="249" t="s">
        <v>1337</v>
      </c>
      <c r="D24" s="230" t="s">
        <v>1338</v>
      </c>
      <c r="E24" s="231" t="s">
        <v>115</v>
      </c>
      <c r="F24" s="231" t="s">
        <v>117</v>
      </c>
      <c r="G24" s="231" t="s">
        <v>322</v>
      </c>
      <c r="H24" s="232" t="s">
        <v>545</v>
      </c>
      <c r="I24" s="226">
        <v>377000</v>
      </c>
      <c r="J24" s="226">
        <v>18850</v>
      </c>
      <c r="K24" s="226">
        <v>18850</v>
      </c>
      <c r="L24" s="226">
        <v>0</v>
      </c>
      <c r="M24" s="226">
        <v>0</v>
      </c>
      <c r="N24" s="233">
        <v>0</v>
      </c>
      <c r="O24" s="227">
        <f t="shared" si="1"/>
        <v>339300</v>
      </c>
    </row>
    <row r="25" spans="1:15" s="228" customFormat="1" ht="135.75" x14ac:dyDescent="0.2">
      <c r="A25" s="221">
        <v>15</v>
      </c>
      <c r="B25" s="254" t="s">
        <v>1339</v>
      </c>
      <c r="C25" s="249" t="s">
        <v>1340</v>
      </c>
      <c r="D25" s="230" t="s">
        <v>1341</v>
      </c>
      <c r="E25" s="231" t="s">
        <v>1342</v>
      </c>
      <c r="F25" s="231" t="s">
        <v>161</v>
      </c>
      <c r="G25" s="231" t="s">
        <v>970</v>
      </c>
      <c r="H25" s="232" t="s">
        <v>1343</v>
      </c>
      <c r="I25" s="226">
        <v>79092</v>
      </c>
      <c r="J25" s="226">
        <v>3954.6</v>
      </c>
      <c r="K25" s="226">
        <v>3954.6</v>
      </c>
      <c r="L25" s="226">
        <v>0</v>
      </c>
      <c r="M25" s="226">
        <v>0</v>
      </c>
      <c r="N25" s="233">
        <v>0</v>
      </c>
      <c r="O25" s="227">
        <f t="shared" si="1"/>
        <v>71182.8</v>
      </c>
    </row>
    <row r="26" spans="1:15" s="228" customFormat="1" ht="97.5" x14ac:dyDescent="0.2">
      <c r="A26" s="221">
        <v>16</v>
      </c>
      <c r="B26" s="254" t="s">
        <v>1344</v>
      </c>
      <c r="C26" s="249" t="s">
        <v>1345</v>
      </c>
      <c r="D26" s="230" t="s">
        <v>1346</v>
      </c>
      <c r="E26" s="231" t="s">
        <v>115</v>
      </c>
      <c r="F26" s="231" t="s">
        <v>117</v>
      </c>
      <c r="G26" s="231" t="s">
        <v>303</v>
      </c>
      <c r="H26" s="232" t="s">
        <v>946</v>
      </c>
      <c r="I26" s="226">
        <v>1850</v>
      </c>
      <c r="J26" s="226"/>
      <c r="K26" s="226"/>
      <c r="L26" s="226"/>
      <c r="M26" s="226"/>
      <c r="N26" s="145" t="s">
        <v>311</v>
      </c>
      <c r="O26" s="227">
        <f t="shared" si="1"/>
        <v>1850</v>
      </c>
    </row>
    <row r="27" spans="1:15" s="228" customFormat="1" ht="97.5" x14ac:dyDescent="0.2">
      <c r="A27" s="221">
        <v>17</v>
      </c>
      <c r="B27" s="254" t="s">
        <v>1344</v>
      </c>
      <c r="C27" s="249" t="s">
        <v>1347</v>
      </c>
      <c r="D27" s="230" t="s">
        <v>1348</v>
      </c>
      <c r="E27" s="231" t="s">
        <v>115</v>
      </c>
      <c r="F27" s="231" t="s">
        <v>117</v>
      </c>
      <c r="G27" s="231" t="s">
        <v>558</v>
      </c>
      <c r="H27" s="232" t="s">
        <v>545</v>
      </c>
      <c r="I27" s="226">
        <v>333000</v>
      </c>
      <c r="J27" s="226">
        <v>16650</v>
      </c>
      <c r="K27" s="226">
        <v>16650</v>
      </c>
      <c r="L27" s="226"/>
      <c r="M27" s="226"/>
      <c r="N27" s="233"/>
      <c r="O27" s="227">
        <f t="shared" si="1"/>
        <v>299700</v>
      </c>
    </row>
    <row r="28" spans="1:15" s="228" customFormat="1" ht="97.5" x14ac:dyDescent="0.2">
      <c r="A28" s="221">
        <v>18</v>
      </c>
      <c r="B28" s="254" t="s">
        <v>1349</v>
      </c>
      <c r="C28" s="249" t="s">
        <v>1350</v>
      </c>
      <c r="D28" s="230" t="s">
        <v>1351</v>
      </c>
      <c r="E28" s="231" t="s">
        <v>115</v>
      </c>
      <c r="F28" s="231" t="s">
        <v>117</v>
      </c>
      <c r="G28" s="231" t="s">
        <v>303</v>
      </c>
      <c r="H28" s="232" t="s">
        <v>545</v>
      </c>
      <c r="I28" s="226">
        <v>29000</v>
      </c>
      <c r="J28" s="226">
        <v>1450</v>
      </c>
      <c r="K28" s="226">
        <v>1450</v>
      </c>
      <c r="L28" s="226"/>
      <c r="M28" s="226"/>
      <c r="N28" s="233"/>
      <c r="O28" s="227">
        <f t="shared" si="1"/>
        <v>26100</v>
      </c>
    </row>
    <row r="29" spans="1:15" s="228" customFormat="1" ht="136.5" x14ac:dyDescent="0.2">
      <c r="A29" s="221">
        <v>19</v>
      </c>
      <c r="B29" s="254" t="s">
        <v>1352</v>
      </c>
      <c r="C29" s="249" t="s">
        <v>1353</v>
      </c>
      <c r="D29" s="230" t="s">
        <v>1354</v>
      </c>
      <c r="E29" s="231" t="s">
        <v>199</v>
      </c>
      <c r="F29" s="231" t="s">
        <v>19</v>
      </c>
      <c r="G29" s="231" t="s">
        <v>1355</v>
      </c>
      <c r="H29" s="232" t="s">
        <v>1356</v>
      </c>
      <c r="I29" s="226">
        <v>240000</v>
      </c>
      <c r="J29" s="226">
        <v>12000</v>
      </c>
      <c r="K29" s="226">
        <v>12000</v>
      </c>
      <c r="L29" s="226"/>
      <c r="M29" s="226"/>
      <c r="N29" s="233"/>
      <c r="O29" s="227">
        <f t="shared" si="1"/>
        <v>216000</v>
      </c>
    </row>
    <row r="30" spans="1:15" s="228" customFormat="1" ht="97.5" x14ac:dyDescent="0.2">
      <c r="A30" s="221">
        <v>20</v>
      </c>
      <c r="B30" s="254" t="s">
        <v>1357</v>
      </c>
      <c r="C30" s="249" t="s">
        <v>1358</v>
      </c>
      <c r="D30" s="230" t="s">
        <v>1359</v>
      </c>
      <c r="E30" s="231" t="s">
        <v>115</v>
      </c>
      <c r="F30" s="231" t="s">
        <v>117</v>
      </c>
      <c r="G30" s="231" t="s">
        <v>318</v>
      </c>
      <c r="H30" s="232" t="s">
        <v>946</v>
      </c>
      <c r="I30" s="226">
        <v>1250</v>
      </c>
      <c r="J30" s="226"/>
      <c r="K30" s="226"/>
      <c r="L30" s="226"/>
      <c r="M30" s="226"/>
      <c r="N30" s="145" t="s">
        <v>311</v>
      </c>
      <c r="O30" s="227">
        <f t="shared" si="1"/>
        <v>1250</v>
      </c>
    </row>
    <row r="31" spans="1:15" s="228" customFormat="1" ht="136.5" x14ac:dyDescent="0.2">
      <c r="A31" s="221">
        <v>21</v>
      </c>
      <c r="B31" s="254" t="s">
        <v>1360</v>
      </c>
      <c r="C31" s="249" t="s">
        <v>1361</v>
      </c>
      <c r="D31" s="230" t="s">
        <v>1362</v>
      </c>
      <c r="E31" s="231" t="s">
        <v>605</v>
      </c>
      <c r="F31" s="231" t="s">
        <v>360</v>
      </c>
      <c r="G31" s="231" t="s">
        <v>636</v>
      </c>
      <c r="H31" s="232" t="s">
        <v>1363</v>
      </c>
      <c r="I31" s="226">
        <v>54000</v>
      </c>
      <c r="J31" s="226">
        <v>2700</v>
      </c>
      <c r="K31" s="226">
        <v>2700</v>
      </c>
      <c r="L31" s="226">
        <v>0</v>
      </c>
      <c r="M31" s="226">
        <v>0</v>
      </c>
      <c r="N31" s="226">
        <v>0</v>
      </c>
      <c r="O31" s="227">
        <f t="shared" si="1"/>
        <v>48600</v>
      </c>
    </row>
    <row r="32" spans="1:15" s="228" customFormat="1" ht="136.5" x14ac:dyDescent="0.2">
      <c r="A32" s="221">
        <v>22</v>
      </c>
      <c r="B32" s="254" t="s">
        <v>1360</v>
      </c>
      <c r="C32" s="249" t="s">
        <v>1364</v>
      </c>
      <c r="D32" s="230" t="s">
        <v>1362</v>
      </c>
      <c r="E32" s="231" t="s">
        <v>605</v>
      </c>
      <c r="F32" s="231" t="s">
        <v>360</v>
      </c>
      <c r="G32" s="231" t="s">
        <v>636</v>
      </c>
      <c r="H32" s="232" t="s">
        <v>1365</v>
      </c>
      <c r="I32" s="226">
        <v>90000</v>
      </c>
      <c r="J32" s="226">
        <v>4500</v>
      </c>
      <c r="K32" s="226">
        <v>4500</v>
      </c>
      <c r="L32" s="226">
        <v>0</v>
      </c>
      <c r="M32" s="226">
        <v>0</v>
      </c>
      <c r="N32" s="226">
        <v>0</v>
      </c>
      <c r="O32" s="227">
        <f t="shared" si="1"/>
        <v>81000</v>
      </c>
    </row>
    <row r="33" spans="1:15" s="228" customFormat="1" ht="97.5" x14ac:dyDescent="0.2">
      <c r="A33" s="221">
        <v>23</v>
      </c>
      <c r="B33" s="254" t="s">
        <v>1366</v>
      </c>
      <c r="C33" s="249" t="s">
        <v>1367</v>
      </c>
      <c r="D33" s="230" t="s">
        <v>1368</v>
      </c>
      <c r="E33" s="231" t="s">
        <v>115</v>
      </c>
      <c r="F33" s="231" t="s">
        <v>117</v>
      </c>
      <c r="G33" s="231" t="s">
        <v>441</v>
      </c>
      <c r="H33" s="232" t="s">
        <v>901</v>
      </c>
      <c r="I33" s="226">
        <v>64000</v>
      </c>
      <c r="J33" s="226">
        <v>3200</v>
      </c>
      <c r="K33" s="226">
        <v>3200</v>
      </c>
      <c r="L33" s="226">
        <v>0</v>
      </c>
      <c r="M33" s="226">
        <v>0</v>
      </c>
      <c r="N33" s="226">
        <v>0</v>
      </c>
      <c r="O33" s="227">
        <f t="shared" si="1"/>
        <v>57600</v>
      </c>
    </row>
    <row r="34" spans="1:15" s="228" customFormat="1" ht="97.5" x14ac:dyDescent="0.2">
      <c r="A34" s="221">
        <v>24</v>
      </c>
      <c r="B34" s="254">
        <v>242166</v>
      </c>
      <c r="C34" s="249" t="s">
        <v>1369</v>
      </c>
      <c r="D34" s="230" t="s">
        <v>1370</v>
      </c>
      <c r="E34" s="231" t="s">
        <v>115</v>
      </c>
      <c r="F34" s="231" t="s">
        <v>117</v>
      </c>
      <c r="G34" s="231" t="s">
        <v>318</v>
      </c>
      <c r="H34" s="232" t="s">
        <v>901</v>
      </c>
      <c r="I34" s="226">
        <v>25000</v>
      </c>
      <c r="J34" s="226">
        <v>1250</v>
      </c>
      <c r="K34" s="226">
        <v>1250</v>
      </c>
      <c r="L34" s="226">
        <v>0</v>
      </c>
      <c r="M34" s="226">
        <v>0</v>
      </c>
      <c r="N34" s="226">
        <v>0</v>
      </c>
      <c r="O34" s="227">
        <f t="shared" si="1"/>
        <v>22500</v>
      </c>
    </row>
    <row r="35" spans="1:15" s="228" customFormat="1" ht="116.25" x14ac:dyDescent="0.2">
      <c r="A35" s="221">
        <v>25</v>
      </c>
      <c r="B35" s="254" t="s">
        <v>1371</v>
      </c>
      <c r="C35" s="249" t="s">
        <v>1372</v>
      </c>
      <c r="D35" s="230" t="s">
        <v>1373</v>
      </c>
      <c r="E35" s="231" t="s">
        <v>1018</v>
      </c>
      <c r="F35" s="231" t="s">
        <v>161</v>
      </c>
      <c r="G35" s="231" t="s">
        <v>1019</v>
      </c>
      <c r="H35" s="232" t="s">
        <v>1374</v>
      </c>
      <c r="I35" s="226">
        <v>353760</v>
      </c>
      <c r="J35" s="226">
        <v>17688</v>
      </c>
      <c r="K35" s="226">
        <v>17688</v>
      </c>
      <c r="L35" s="226">
        <v>0</v>
      </c>
      <c r="M35" s="226">
        <v>0</v>
      </c>
      <c r="N35" s="226">
        <v>0</v>
      </c>
      <c r="O35" s="227">
        <f t="shared" si="1"/>
        <v>318384</v>
      </c>
    </row>
    <row r="36" spans="1:15" s="228" customFormat="1" ht="135.75" x14ac:dyDescent="0.2">
      <c r="A36" s="221">
        <v>26</v>
      </c>
      <c r="B36" s="254" t="s">
        <v>1371</v>
      </c>
      <c r="C36" s="249" t="s">
        <v>1375</v>
      </c>
      <c r="D36" s="230" t="s">
        <v>1376</v>
      </c>
      <c r="E36" s="231" t="s">
        <v>1018</v>
      </c>
      <c r="F36" s="231" t="s">
        <v>161</v>
      </c>
      <c r="G36" s="231" t="s">
        <v>1377</v>
      </c>
      <c r="H36" s="232" t="s">
        <v>1378</v>
      </c>
      <c r="I36" s="226">
        <v>52360</v>
      </c>
      <c r="J36" s="226">
        <v>2618</v>
      </c>
      <c r="K36" s="226">
        <v>2618</v>
      </c>
      <c r="L36" s="226">
        <v>0</v>
      </c>
      <c r="M36" s="226">
        <v>0</v>
      </c>
      <c r="N36" s="226">
        <v>0</v>
      </c>
      <c r="O36" s="227">
        <f t="shared" si="1"/>
        <v>47124</v>
      </c>
    </row>
    <row r="37" spans="1:15" s="228" customFormat="1" ht="96.75" x14ac:dyDescent="0.2">
      <c r="A37" s="221">
        <v>27</v>
      </c>
      <c r="B37" s="254" t="s">
        <v>1379</v>
      </c>
      <c r="C37" s="249" t="s">
        <v>1380</v>
      </c>
      <c r="D37" s="230" t="s">
        <v>1381</v>
      </c>
      <c r="E37" s="231" t="s">
        <v>1382</v>
      </c>
      <c r="F37" s="231" t="s">
        <v>117</v>
      </c>
      <c r="G37" s="231" t="s">
        <v>1383</v>
      </c>
      <c r="H37" s="232" t="s">
        <v>1384</v>
      </c>
      <c r="I37" s="226">
        <v>15000</v>
      </c>
      <c r="J37" s="226">
        <v>750</v>
      </c>
      <c r="K37" s="226">
        <v>750</v>
      </c>
      <c r="L37" s="226">
        <v>0</v>
      </c>
      <c r="M37" s="226">
        <v>0</v>
      </c>
      <c r="N37" s="226">
        <v>0</v>
      </c>
      <c r="O37" s="227">
        <f t="shared" si="1"/>
        <v>13500</v>
      </c>
    </row>
    <row r="38" spans="1:15" s="228" customFormat="1" ht="97.5" x14ac:dyDescent="0.2">
      <c r="A38" s="221">
        <v>28</v>
      </c>
      <c r="B38" s="254" t="s">
        <v>1385</v>
      </c>
      <c r="C38" s="249" t="s">
        <v>1386</v>
      </c>
      <c r="D38" s="230" t="s">
        <v>1387</v>
      </c>
      <c r="E38" s="231" t="s">
        <v>115</v>
      </c>
      <c r="F38" s="231" t="s">
        <v>117</v>
      </c>
      <c r="G38" s="231" t="s">
        <v>318</v>
      </c>
      <c r="H38" s="232" t="s">
        <v>901</v>
      </c>
      <c r="I38" s="226">
        <v>30000</v>
      </c>
      <c r="J38" s="226">
        <v>1500</v>
      </c>
      <c r="K38" s="226">
        <v>1500</v>
      </c>
      <c r="L38" s="226">
        <v>0</v>
      </c>
      <c r="M38" s="226">
        <v>0</v>
      </c>
      <c r="N38" s="226">
        <v>0</v>
      </c>
      <c r="O38" s="227">
        <f t="shared" si="1"/>
        <v>27000</v>
      </c>
    </row>
    <row r="39" spans="1:15" s="228" customFormat="1" ht="117" x14ac:dyDescent="0.2">
      <c r="A39" s="221">
        <v>29</v>
      </c>
      <c r="B39" s="254" t="s">
        <v>1388</v>
      </c>
      <c r="C39" s="249" t="s">
        <v>1389</v>
      </c>
      <c r="D39" s="230" t="s">
        <v>1390</v>
      </c>
      <c r="E39" s="231" t="s">
        <v>302</v>
      </c>
      <c r="F39" s="231" t="s">
        <v>117</v>
      </c>
      <c r="G39" s="231" t="s">
        <v>318</v>
      </c>
      <c r="H39" s="232" t="s">
        <v>1391</v>
      </c>
      <c r="I39" s="226">
        <v>20000</v>
      </c>
      <c r="J39" s="226">
        <v>1000</v>
      </c>
      <c r="K39" s="226">
        <v>1000</v>
      </c>
      <c r="L39" s="226">
        <v>0</v>
      </c>
      <c r="M39" s="226">
        <v>0</v>
      </c>
      <c r="N39" s="226">
        <v>0</v>
      </c>
      <c r="O39" s="227">
        <f t="shared" si="1"/>
        <v>18000</v>
      </c>
    </row>
    <row r="40" spans="1:15" s="228" customFormat="1" ht="78" x14ac:dyDescent="0.2">
      <c r="A40" s="221">
        <v>30</v>
      </c>
      <c r="B40" s="254" t="s">
        <v>1392</v>
      </c>
      <c r="C40" s="249" t="s">
        <v>1393</v>
      </c>
      <c r="D40" s="230" t="s">
        <v>1394</v>
      </c>
      <c r="E40" s="231" t="s">
        <v>897</v>
      </c>
      <c r="F40" s="231" t="s">
        <v>117</v>
      </c>
      <c r="G40" s="231" t="s">
        <v>898</v>
      </c>
      <c r="H40" s="232" t="s">
        <v>1395</v>
      </c>
      <c r="I40" s="226">
        <v>326700</v>
      </c>
      <c r="J40" s="226">
        <v>16335</v>
      </c>
      <c r="K40" s="226">
        <v>16335</v>
      </c>
      <c r="L40" s="226">
        <v>0</v>
      </c>
      <c r="M40" s="226">
        <v>0</v>
      </c>
      <c r="N40" s="226">
        <v>0</v>
      </c>
      <c r="O40" s="227">
        <f t="shared" si="1"/>
        <v>294030</v>
      </c>
    </row>
    <row r="41" spans="1:15" s="228" customFormat="1" ht="116.25" x14ac:dyDescent="0.2">
      <c r="A41" s="221">
        <v>31</v>
      </c>
      <c r="B41" s="254" t="s">
        <v>1396</v>
      </c>
      <c r="C41" s="230" t="s">
        <v>1397</v>
      </c>
      <c r="D41" s="230" t="s">
        <v>1398</v>
      </c>
      <c r="E41" s="231" t="s">
        <v>595</v>
      </c>
      <c r="F41" s="231" t="s">
        <v>161</v>
      </c>
      <c r="G41" s="231" t="s">
        <v>1399</v>
      </c>
      <c r="H41" s="232" t="s">
        <v>1400</v>
      </c>
      <c r="I41" s="226">
        <v>150000</v>
      </c>
      <c r="J41" s="226">
        <v>7500</v>
      </c>
      <c r="K41" s="226">
        <v>7500</v>
      </c>
      <c r="L41" s="226">
        <v>0</v>
      </c>
      <c r="M41" s="226">
        <v>0</v>
      </c>
      <c r="N41" s="226">
        <v>0</v>
      </c>
      <c r="O41" s="227">
        <f t="shared" si="1"/>
        <v>135000</v>
      </c>
    </row>
    <row r="42" spans="1:15" s="228" customFormat="1" ht="135.75" x14ac:dyDescent="0.2">
      <c r="A42" s="221">
        <v>32</v>
      </c>
      <c r="B42" s="254" t="s">
        <v>1401</v>
      </c>
      <c r="C42" s="230" t="s">
        <v>1402</v>
      </c>
      <c r="D42" s="230" t="s">
        <v>1403</v>
      </c>
      <c r="E42" s="231" t="s">
        <v>199</v>
      </c>
      <c r="F42" s="231" t="s">
        <v>19</v>
      </c>
      <c r="G42" s="231" t="s">
        <v>1355</v>
      </c>
      <c r="H42" s="232" t="s">
        <v>1404</v>
      </c>
      <c r="I42" s="226">
        <v>60000</v>
      </c>
      <c r="J42" s="226">
        <v>3000</v>
      </c>
      <c r="K42" s="226">
        <v>3000</v>
      </c>
      <c r="L42" s="226">
        <v>0</v>
      </c>
      <c r="M42" s="226">
        <v>0</v>
      </c>
      <c r="N42" s="226">
        <v>0</v>
      </c>
      <c r="O42" s="227">
        <f t="shared" si="1"/>
        <v>54000</v>
      </c>
    </row>
    <row r="43" spans="1:15" s="228" customFormat="1" ht="96.75" x14ac:dyDescent="0.2">
      <c r="A43" s="221">
        <v>33</v>
      </c>
      <c r="B43" s="254" t="s">
        <v>1405</v>
      </c>
      <c r="C43" s="230" t="s">
        <v>1406</v>
      </c>
      <c r="D43" s="230" t="s">
        <v>1407</v>
      </c>
      <c r="E43" s="231" t="s">
        <v>605</v>
      </c>
      <c r="F43" s="231" t="s">
        <v>360</v>
      </c>
      <c r="G43" s="231" t="s">
        <v>606</v>
      </c>
      <c r="H43" s="232" t="s">
        <v>1408</v>
      </c>
      <c r="I43" s="226">
        <v>55000</v>
      </c>
      <c r="J43" s="226">
        <v>0</v>
      </c>
      <c r="K43" s="226">
        <v>0</v>
      </c>
      <c r="L43" s="226">
        <f>0.64/2</f>
        <v>0.32</v>
      </c>
      <c r="M43" s="226">
        <f>0.64/2</f>
        <v>0.32</v>
      </c>
      <c r="N43" s="226">
        <v>0</v>
      </c>
      <c r="O43" s="227">
        <f t="shared" si="1"/>
        <v>54999.360000000001</v>
      </c>
    </row>
    <row r="44" spans="1:15" s="228" customFormat="1" ht="252.75" x14ac:dyDescent="0.2">
      <c r="A44" s="221">
        <v>34</v>
      </c>
      <c r="B44" s="254" t="s">
        <v>1409</v>
      </c>
      <c r="C44" s="230" t="s">
        <v>1410</v>
      </c>
      <c r="D44" s="230" t="s">
        <v>1411</v>
      </c>
      <c r="E44" s="231" t="s">
        <v>199</v>
      </c>
      <c r="F44" s="231" t="s">
        <v>19</v>
      </c>
      <c r="G44" s="231" t="s">
        <v>1412</v>
      </c>
      <c r="H44" s="232" t="s">
        <v>1413</v>
      </c>
      <c r="I44" s="226">
        <v>250000</v>
      </c>
      <c r="J44" s="226">
        <v>12500</v>
      </c>
      <c r="K44" s="226">
        <v>12500</v>
      </c>
      <c r="L44" s="226">
        <v>0</v>
      </c>
      <c r="M44" s="226">
        <v>0</v>
      </c>
      <c r="N44" s="226">
        <v>0</v>
      </c>
      <c r="O44" s="227">
        <f t="shared" si="1"/>
        <v>225000</v>
      </c>
    </row>
    <row r="45" spans="1:15" s="228" customFormat="1" ht="78" x14ac:dyDescent="0.2">
      <c r="A45" s="221">
        <v>35</v>
      </c>
      <c r="B45" s="254" t="s">
        <v>1414</v>
      </c>
      <c r="C45" s="230" t="s">
        <v>1415</v>
      </c>
      <c r="D45" s="230" t="s">
        <v>1416</v>
      </c>
      <c r="E45" s="231" t="s">
        <v>1417</v>
      </c>
      <c r="F45" s="231" t="s">
        <v>117</v>
      </c>
      <c r="G45" s="231" t="s">
        <v>1103</v>
      </c>
      <c r="H45" s="232" t="s">
        <v>1418</v>
      </c>
      <c r="I45" s="226">
        <v>55112</v>
      </c>
      <c r="J45" s="226">
        <v>0</v>
      </c>
      <c r="K45" s="226">
        <v>0</v>
      </c>
      <c r="L45" s="226">
        <v>27556</v>
      </c>
      <c r="M45" s="226">
        <v>27556</v>
      </c>
      <c r="N45" s="226">
        <v>0</v>
      </c>
      <c r="O45" s="227">
        <f t="shared" ref="O45:O58" si="3">+I45-(SUM(J45:N45))</f>
        <v>0</v>
      </c>
    </row>
    <row r="46" spans="1:15" s="228" customFormat="1" ht="155.25" x14ac:dyDescent="0.2">
      <c r="A46" s="221">
        <v>36</v>
      </c>
      <c r="B46" s="254" t="s">
        <v>1419</v>
      </c>
      <c r="C46" s="230" t="s">
        <v>1420</v>
      </c>
      <c r="D46" s="230" t="s">
        <v>1421</v>
      </c>
      <c r="E46" s="231" t="s">
        <v>1422</v>
      </c>
      <c r="F46" s="231" t="s">
        <v>117</v>
      </c>
      <c r="G46" s="231" t="s">
        <v>1423</v>
      </c>
      <c r="H46" s="232" t="s">
        <v>1424</v>
      </c>
      <c r="I46" s="226">
        <v>10000</v>
      </c>
      <c r="J46" s="226">
        <v>5000</v>
      </c>
      <c r="K46" s="226">
        <v>5000</v>
      </c>
      <c r="L46" s="226">
        <v>0</v>
      </c>
      <c r="M46" s="226">
        <v>0</v>
      </c>
      <c r="N46" s="226">
        <v>0</v>
      </c>
      <c r="O46" s="227">
        <f t="shared" si="3"/>
        <v>0</v>
      </c>
    </row>
    <row r="47" spans="1:15" s="228" customFormat="1" ht="234" x14ac:dyDescent="0.2">
      <c r="A47" s="221">
        <v>37</v>
      </c>
      <c r="B47" s="254" t="s">
        <v>1425</v>
      </c>
      <c r="C47" s="230" t="s">
        <v>1426</v>
      </c>
      <c r="D47" s="230" t="s">
        <v>1427</v>
      </c>
      <c r="E47" s="231" t="s">
        <v>199</v>
      </c>
      <c r="F47" s="231" t="s">
        <v>19</v>
      </c>
      <c r="G47" s="231" t="s">
        <v>1412</v>
      </c>
      <c r="H47" s="232" t="s">
        <v>1428</v>
      </c>
      <c r="I47" s="226">
        <v>300000</v>
      </c>
      <c r="J47" s="226">
        <v>15000</v>
      </c>
      <c r="K47" s="226">
        <v>15000</v>
      </c>
      <c r="L47" s="226">
        <v>0</v>
      </c>
      <c r="M47" s="226">
        <v>0</v>
      </c>
      <c r="N47" s="226">
        <v>0</v>
      </c>
      <c r="O47" s="227">
        <f t="shared" si="3"/>
        <v>270000</v>
      </c>
    </row>
    <row r="48" spans="1:15" s="228" customFormat="1" ht="97.5" x14ac:dyDescent="0.2">
      <c r="A48" s="221">
        <v>38</v>
      </c>
      <c r="B48" s="254" t="s">
        <v>1429</v>
      </c>
      <c r="C48" s="230" t="s">
        <v>1430</v>
      </c>
      <c r="D48" s="230" t="s">
        <v>1431</v>
      </c>
      <c r="E48" s="231" t="s">
        <v>335</v>
      </c>
      <c r="F48" s="231" t="s">
        <v>19</v>
      </c>
      <c r="G48" s="231" t="s">
        <v>1432</v>
      </c>
      <c r="H48" s="232" t="s">
        <v>1433</v>
      </c>
      <c r="I48" s="226">
        <v>124812</v>
      </c>
      <c r="J48" s="226">
        <f>124812/2</f>
        <v>62406</v>
      </c>
      <c r="K48" s="226">
        <v>62406</v>
      </c>
      <c r="L48" s="226"/>
      <c r="M48" s="226"/>
      <c r="N48" s="226"/>
      <c r="O48" s="227">
        <f t="shared" si="3"/>
        <v>0</v>
      </c>
    </row>
    <row r="49" spans="1:15" s="228" customFormat="1" ht="97.5" x14ac:dyDescent="0.2">
      <c r="A49" s="221">
        <v>39</v>
      </c>
      <c r="B49" s="254" t="s">
        <v>1434</v>
      </c>
      <c r="C49" s="230" t="s">
        <v>1435</v>
      </c>
      <c r="D49" s="230" t="s">
        <v>1436</v>
      </c>
      <c r="E49" s="231" t="s">
        <v>115</v>
      </c>
      <c r="F49" s="231" t="s">
        <v>117</v>
      </c>
      <c r="G49" s="231" t="s">
        <v>289</v>
      </c>
      <c r="H49" s="232" t="s">
        <v>901</v>
      </c>
      <c r="I49" s="226">
        <v>94000</v>
      </c>
      <c r="J49" s="226">
        <v>4700</v>
      </c>
      <c r="K49" s="226">
        <v>4700</v>
      </c>
      <c r="L49" s="226"/>
      <c r="M49" s="226"/>
      <c r="N49" s="226"/>
      <c r="O49" s="227">
        <f t="shared" si="3"/>
        <v>84600</v>
      </c>
    </row>
    <row r="50" spans="1:15" s="228" customFormat="1" ht="97.5" x14ac:dyDescent="0.2">
      <c r="A50" s="221">
        <v>40</v>
      </c>
      <c r="B50" s="254" t="s">
        <v>1437</v>
      </c>
      <c r="C50" s="230" t="s">
        <v>1438</v>
      </c>
      <c r="D50" s="230" t="s">
        <v>1439</v>
      </c>
      <c r="E50" s="231" t="s">
        <v>115</v>
      </c>
      <c r="F50" s="231" t="s">
        <v>117</v>
      </c>
      <c r="G50" s="231" t="s">
        <v>318</v>
      </c>
      <c r="H50" s="232" t="s">
        <v>901</v>
      </c>
      <c r="I50" s="226">
        <v>25000</v>
      </c>
      <c r="J50" s="226">
        <v>1250</v>
      </c>
      <c r="K50" s="226">
        <v>1250</v>
      </c>
      <c r="L50" s="226"/>
      <c r="M50" s="226"/>
      <c r="N50" s="226"/>
      <c r="O50" s="227">
        <f t="shared" si="3"/>
        <v>22500</v>
      </c>
    </row>
    <row r="51" spans="1:15" s="228" customFormat="1" ht="97.5" x14ac:dyDescent="0.2">
      <c r="A51" s="221">
        <v>41</v>
      </c>
      <c r="B51" s="254" t="s">
        <v>1440</v>
      </c>
      <c r="C51" s="230" t="s">
        <v>1441</v>
      </c>
      <c r="D51" s="230" t="s">
        <v>1442</v>
      </c>
      <c r="E51" s="231" t="s">
        <v>115</v>
      </c>
      <c r="F51" s="231" t="s">
        <v>117</v>
      </c>
      <c r="G51" s="231" t="s">
        <v>315</v>
      </c>
      <c r="H51" s="232" t="s">
        <v>901</v>
      </c>
      <c r="I51" s="226">
        <v>225000</v>
      </c>
      <c r="J51" s="226">
        <v>11250</v>
      </c>
      <c r="K51" s="226">
        <v>11250</v>
      </c>
      <c r="L51" s="226"/>
      <c r="M51" s="226"/>
      <c r="N51" s="226"/>
      <c r="O51" s="227">
        <f t="shared" si="3"/>
        <v>202500</v>
      </c>
    </row>
    <row r="52" spans="1:15" s="228" customFormat="1" ht="117" x14ac:dyDescent="0.2">
      <c r="A52" s="221">
        <v>42</v>
      </c>
      <c r="B52" s="254" t="s">
        <v>1440</v>
      </c>
      <c r="C52" s="230" t="s">
        <v>1443</v>
      </c>
      <c r="D52" s="230" t="s">
        <v>1444</v>
      </c>
      <c r="E52" s="231" t="s">
        <v>963</v>
      </c>
      <c r="F52" s="231" t="s">
        <v>19</v>
      </c>
      <c r="G52" s="231" t="s">
        <v>964</v>
      </c>
      <c r="H52" s="232" t="s">
        <v>1445</v>
      </c>
      <c r="I52" s="226">
        <v>380000</v>
      </c>
      <c r="J52" s="226">
        <v>19000</v>
      </c>
      <c r="K52" s="226">
        <v>19000</v>
      </c>
      <c r="L52" s="226"/>
      <c r="M52" s="226"/>
      <c r="N52" s="226"/>
      <c r="O52" s="227">
        <f t="shared" si="3"/>
        <v>342000</v>
      </c>
    </row>
    <row r="53" spans="1:15" s="228" customFormat="1" ht="97.5" x14ac:dyDescent="0.2">
      <c r="A53" s="221">
        <v>43</v>
      </c>
      <c r="B53" s="254" t="s">
        <v>1446</v>
      </c>
      <c r="C53" s="230" t="s">
        <v>1447</v>
      </c>
      <c r="D53" s="230" t="s">
        <v>1448</v>
      </c>
      <c r="E53" s="231" t="s">
        <v>115</v>
      </c>
      <c r="F53" s="231" t="s">
        <v>117</v>
      </c>
      <c r="G53" s="231" t="s">
        <v>322</v>
      </c>
      <c r="H53" s="232" t="s">
        <v>901</v>
      </c>
      <c r="I53" s="226">
        <v>355000</v>
      </c>
      <c r="J53" s="226">
        <v>17750</v>
      </c>
      <c r="K53" s="226">
        <v>17750</v>
      </c>
      <c r="L53" s="226"/>
      <c r="M53" s="226"/>
      <c r="N53" s="226"/>
      <c r="O53" s="227">
        <f t="shared" si="3"/>
        <v>319500</v>
      </c>
    </row>
    <row r="54" spans="1:15" s="228" customFormat="1" ht="117" x14ac:dyDescent="0.2">
      <c r="A54" s="221">
        <v>44</v>
      </c>
      <c r="B54" s="254" t="s">
        <v>1446</v>
      </c>
      <c r="C54" s="230" t="s">
        <v>1449</v>
      </c>
      <c r="D54" s="230" t="s">
        <v>1450</v>
      </c>
      <c r="E54" s="231" t="s">
        <v>302</v>
      </c>
      <c r="F54" s="231" t="s">
        <v>117</v>
      </c>
      <c r="G54" s="231" t="s">
        <v>318</v>
      </c>
      <c r="H54" s="232" t="s">
        <v>1451</v>
      </c>
      <c r="I54" s="226">
        <v>25000</v>
      </c>
      <c r="J54" s="226">
        <v>1250</v>
      </c>
      <c r="K54" s="226">
        <v>1250</v>
      </c>
      <c r="L54" s="226"/>
      <c r="M54" s="226"/>
      <c r="N54" s="226"/>
      <c r="O54" s="227">
        <f t="shared" si="3"/>
        <v>22500</v>
      </c>
    </row>
    <row r="55" spans="1:15" s="228" customFormat="1" ht="97.5" x14ac:dyDescent="0.2">
      <c r="A55" s="221">
        <v>45</v>
      </c>
      <c r="B55" s="254">
        <v>242430</v>
      </c>
      <c r="C55" s="230" t="s">
        <v>1452</v>
      </c>
      <c r="D55" s="230" t="s">
        <v>1453</v>
      </c>
      <c r="E55" s="231" t="s">
        <v>115</v>
      </c>
      <c r="F55" s="231" t="s">
        <v>117</v>
      </c>
      <c r="G55" s="231" t="s">
        <v>318</v>
      </c>
      <c r="H55" s="232" t="s">
        <v>901</v>
      </c>
      <c r="I55" s="226">
        <v>25000</v>
      </c>
      <c r="J55" s="226">
        <v>1250</v>
      </c>
      <c r="K55" s="226">
        <v>1250</v>
      </c>
      <c r="L55" s="226"/>
      <c r="M55" s="226"/>
      <c r="N55" s="226"/>
      <c r="O55" s="227">
        <f t="shared" si="3"/>
        <v>22500</v>
      </c>
    </row>
    <row r="56" spans="1:15" s="228" customFormat="1" ht="97.5" x14ac:dyDescent="0.2">
      <c r="A56" s="221">
        <v>46</v>
      </c>
      <c r="B56" s="254">
        <v>242430</v>
      </c>
      <c r="C56" s="230" t="s">
        <v>1454</v>
      </c>
      <c r="D56" s="230" t="s">
        <v>1455</v>
      </c>
      <c r="E56" s="231" t="s">
        <v>1456</v>
      </c>
      <c r="F56" s="231" t="s">
        <v>161</v>
      </c>
      <c r="G56" s="231" t="s">
        <v>1103</v>
      </c>
      <c r="H56" s="232" t="s">
        <v>1457</v>
      </c>
      <c r="I56" s="226">
        <v>50005</v>
      </c>
      <c r="J56" s="226">
        <v>25002.5</v>
      </c>
      <c r="K56" s="226">
        <v>25002.5</v>
      </c>
      <c r="L56" s="226"/>
      <c r="M56" s="226"/>
      <c r="N56" s="226"/>
      <c r="O56" s="227">
        <f t="shared" si="3"/>
        <v>0</v>
      </c>
    </row>
    <row r="57" spans="1:15" s="228" customFormat="1" ht="78" x14ac:dyDescent="0.2">
      <c r="A57" s="221">
        <v>47</v>
      </c>
      <c r="B57" s="254">
        <v>242430</v>
      </c>
      <c r="C57" s="230" t="s">
        <v>1458</v>
      </c>
      <c r="D57" s="230" t="s">
        <v>1459</v>
      </c>
      <c r="E57" s="231" t="s">
        <v>897</v>
      </c>
      <c r="F57" s="231" t="s">
        <v>117</v>
      </c>
      <c r="G57" s="231" t="s">
        <v>898</v>
      </c>
      <c r="H57" s="232" t="s">
        <v>1460</v>
      </c>
      <c r="I57" s="226">
        <v>196020</v>
      </c>
      <c r="J57" s="226">
        <v>9801</v>
      </c>
      <c r="K57" s="226">
        <v>9801</v>
      </c>
      <c r="L57" s="226"/>
      <c r="M57" s="226"/>
      <c r="N57" s="226"/>
      <c r="O57" s="227">
        <f t="shared" si="3"/>
        <v>176418</v>
      </c>
    </row>
    <row r="58" spans="1:15" s="228" customFormat="1" ht="97.5" x14ac:dyDescent="0.2">
      <c r="A58" s="221">
        <v>48</v>
      </c>
      <c r="B58" s="254">
        <v>242430</v>
      </c>
      <c r="C58" s="256" t="s">
        <v>1109</v>
      </c>
      <c r="D58" s="230" t="s">
        <v>1461</v>
      </c>
      <c r="E58" s="231" t="s">
        <v>115</v>
      </c>
      <c r="F58" s="231" t="s">
        <v>117</v>
      </c>
      <c r="G58" s="231" t="s">
        <v>1462</v>
      </c>
      <c r="H58" s="232" t="s">
        <v>901</v>
      </c>
      <c r="I58" s="226">
        <v>2470000</v>
      </c>
      <c r="J58" s="226">
        <v>123500</v>
      </c>
      <c r="K58" s="226">
        <v>123500</v>
      </c>
      <c r="L58" s="226"/>
      <c r="M58" s="226"/>
      <c r="N58" s="226"/>
      <c r="O58" s="227">
        <f t="shared" si="3"/>
        <v>2223000</v>
      </c>
    </row>
    <row r="59" spans="1:15" s="228" customFormat="1" ht="117" x14ac:dyDescent="0.2">
      <c r="A59" s="221">
        <v>49</v>
      </c>
      <c r="B59" s="254">
        <v>242430</v>
      </c>
      <c r="C59" s="256" t="s">
        <v>1109</v>
      </c>
      <c r="D59" s="230" t="s">
        <v>1463</v>
      </c>
      <c r="E59" s="231" t="s">
        <v>963</v>
      </c>
      <c r="F59" s="231" t="s">
        <v>19</v>
      </c>
      <c r="G59" s="231" t="s">
        <v>964</v>
      </c>
      <c r="H59" s="232" t="s">
        <v>1464</v>
      </c>
      <c r="I59" s="226">
        <v>570000</v>
      </c>
      <c r="J59" s="226">
        <v>28500</v>
      </c>
      <c r="K59" s="226">
        <v>28500</v>
      </c>
      <c r="L59" s="226"/>
      <c r="M59" s="226"/>
      <c r="N59" s="226"/>
      <c r="O59" s="227">
        <f t="shared" ref="O59" si="4">+I59-(SUM(J59:N59))</f>
        <v>513000</v>
      </c>
    </row>
    <row r="60" spans="1:15" x14ac:dyDescent="0.45">
      <c r="A60" s="216" t="s">
        <v>447</v>
      </c>
      <c r="B60" s="251"/>
      <c r="C60" s="217"/>
      <c r="D60" s="217"/>
      <c r="E60" s="218"/>
      <c r="F60" s="219"/>
      <c r="G60" s="219"/>
      <c r="H60" s="219"/>
      <c r="I60" s="220">
        <f>SUM(I61:I93)</f>
        <v>8720513.4399999995</v>
      </c>
      <c r="J60" s="220">
        <f t="shared" ref="J60:O60" si="5">SUM(J61:J93)</f>
        <v>421520.38000000006</v>
      </c>
      <c r="K60" s="220">
        <f t="shared" si="5"/>
        <v>421520.38000000006</v>
      </c>
      <c r="L60" s="220">
        <f t="shared" si="5"/>
        <v>124385.55</v>
      </c>
      <c r="M60" s="220">
        <f t="shared" si="5"/>
        <v>104385.55</v>
      </c>
      <c r="N60" s="220">
        <f t="shared" si="5"/>
        <v>0</v>
      </c>
      <c r="O60" s="220">
        <f t="shared" si="5"/>
        <v>7648701.5800000001</v>
      </c>
    </row>
    <row r="61" spans="1:15" s="228" customFormat="1" ht="116.25" x14ac:dyDescent="0.2">
      <c r="A61" s="257">
        <v>1</v>
      </c>
      <c r="B61" s="258" t="s">
        <v>1295</v>
      </c>
      <c r="C61" s="259" t="s">
        <v>1465</v>
      </c>
      <c r="D61" s="260" t="s">
        <v>1466</v>
      </c>
      <c r="E61" s="261" t="s">
        <v>451</v>
      </c>
      <c r="F61" s="261" t="s">
        <v>22</v>
      </c>
      <c r="G61" s="261" t="s">
        <v>1467</v>
      </c>
      <c r="H61" s="262" t="s">
        <v>1468</v>
      </c>
      <c r="I61" s="263">
        <v>120000</v>
      </c>
      <c r="J61" s="263">
        <v>6000</v>
      </c>
      <c r="K61" s="263">
        <v>6000</v>
      </c>
      <c r="L61" s="263">
        <v>0</v>
      </c>
      <c r="M61" s="263">
        <v>0</v>
      </c>
      <c r="N61" s="263">
        <v>0</v>
      </c>
      <c r="O61" s="253">
        <f t="shared" si="1"/>
        <v>108000</v>
      </c>
    </row>
    <row r="62" spans="1:15" s="228" customFormat="1" ht="155.25" x14ac:dyDescent="0.2">
      <c r="A62" s="264">
        <v>2</v>
      </c>
      <c r="B62" s="254" t="s">
        <v>1352</v>
      </c>
      <c r="C62" s="230" t="s">
        <v>1469</v>
      </c>
      <c r="D62" s="230" t="s">
        <v>1470</v>
      </c>
      <c r="E62" s="231" t="s">
        <v>723</v>
      </c>
      <c r="F62" s="231" t="s">
        <v>22</v>
      </c>
      <c r="G62" s="231" t="s">
        <v>724</v>
      </c>
      <c r="H62" s="232" t="s">
        <v>1471</v>
      </c>
      <c r="I62" s="226">
        <v>120002</v>
      </c>
      <c r="J62" s="226">
        <f>39999+20002</f>
        <v>60001</v>
      </c>
      <c r="K62" s="226">
        <f>39999+20002</f>
        <v>60001</v>
      </c>
      <c r="L62" s="226">
        <v>0</v>
      </c>
      <c r="M62" s="226">
        <v>0</v>
      </c>
      <c r="N62" s="226">
        <v>0</v>
      </c>
      <c r="O62" s="227">
        <f t="shared" si="1"/>
        <v>0</v>
      </c>
    </row>
    <row r="63" spans="1:15" s="228" customFormat="1" ht="195" x14ac:dyDescent="0.2">
      <c r="A63" s="264">
        <v>3</v>
      </c>
      <c r="B63" s="254" t="s">
        <v>1472</v>
      </c>
      <c r="C63" s="230" t="s">
        <v>1473</v>
      </c>
      <c r="D63" s="230" t="s">
        <v>1474</v>
      </c>
      <c r="E63" s="231" t="s">
        <v>1139</v>
      </c>
      <c r="F63" s="231" t="s">
        <v>512</v>
      </c>
      <c r="G63" s="231" t="s">
        <v>1134</v>
      </c>
      <c r="H63" s="232" t="s">
        <v>1475</v>
      </c>
      <c r="I63" s="226">
        <v>16000</v>
      </c>
      <c r="J63" s="226">
        <v>8000</v>
      </c>
      <c r="K63" s="226">
        <v>8000</v>
      </c>
      <c r="L63" s="226">
        <v>0</v>
      </c>
      <c r="M63" s="226">
        <v>0</v>
      </c>
      <c r="N63" s="226">
        <v>0</v>
      </c>
      <c r="O63" s="227">
        <f t="shared" si="1"/>
        <v>0</v>
      </c>
    </row>
    <row r="64" spans="1:15" s="228" customFormat="1" ht="195" x14ac:dyDescent="0.2">
      <c r="A64" s="264">
        <v>4</v>
      </c>
      <c r="B64" s="254" t="s">
        <v>1476</v>
      </c>
      <c r="C64" s="230" t="s">
        <v>1477</v>
      </c>
      <c r="D64" s="230" t="s">
        <v>1478</v>
      </c>
      <c r="E64" s="231" t="s">
        <v>699</v>
      </c>
      <c r="F64" s="231" t="s">
        <v>22</v>
      </c>
      <c r="G64" s="231" t="s">
        <v>718</v>
      </c>
      <c r="H64" s="232" t="s">
        <v>1479</v>
      </c>
      <c r="I64" s="226">
        <v>59900</v>
      </c>
      <c r="J64" s="226">
        <v>0</v>
      </c>
      <c r="K64" s="226">
        <v>0</v>
      </c>
      <c r="L64" s="226">
        <v>2040.9</v>
      </c>
      <c r="M64" s="226">
        <v>2040.9</v>
      </c>
      <c r="N64" s="226">
        <v>0</v>
      </c>
      <c r="O64" s="227">
        <f t="shared" si="1"/>
        <v>55818.2</v>
      </c>
    </row>
    <row r="65" spans="1:15" s="228" customFormat="1" ht="155.25" x14ac:dyDescent="0.2">
      <c r="A65" s="264">
        <v>5</v>
      </c>
      <c r="B65" s="254" t="s">
        <v>1379</v>
      </c>
      <c r="C65" s="230" t="s">
        <v>1480</v>
      </c>
      <c r="D65" s="230" t="s">
        <v>1481</v>
      </c>
      <c r="E65" s="231" t="s">
        <v>752</v>
      </c>
      <c r="F65" s="231" t="s">
        <v>706</v>
      </c>
      <c r="G65" s="231" t="s">
        <v>1482</v>
      </c>
      <c r="H65" s="232" t="s">
        <v>1483</v>
      </c>
      <c r="I65" s="226">
        <v>30547</v>
      </c>
      <c r="J65" s="226">
        <v>0</v>
      </c>
      <c r="K65" s="226">
        <v>0</v>
      </c>
      <c r="L65" s="226">
        <v>15273.5</v>
      </c>
      <c r="M65" s="226">
        <v>15273.5</v>
      </c>
      <c r="N65" s="226">
        <v>0</v>
      </c>
      <c r="O65" s="227">
        <f t="shared" si="1"/>
        <v>0</v>
      </c>
    </row>
    <row r="66" spans="1:15" s="228" customFormat="1" ht="136.5" x14ac:dyDescent="0.2">
      <c r="A66" s="264">
        <v>6</v>
      </c>
      <c r="B66" s="254" t="s">
        <v>1484</v>
      </c>
      <c r="C66" s="230" t="s">
        <v>1485</v>
      </c>
      <c r="D66" s="230" t="s">
        <v>1486</v>
      </c>
      <c r="E66" s="231" t="s">
        <v>723</v>
      </c>
      <c r="F66" s="231" t="s">
        <v>22</v>
      </c>
      <c r="G66" s="231" t="s">
        <v>1144</v>
      </c>
      <c r="H66" s="232" t="s">
        <v>1487</v>
      </c>
      <c r="I66" s="226">
        <v>128250</v>
      </c>
      <c r="J66" s="226">
        <f>128250*0.1/2</f>
        <v>6412.5</v>
      </c>
      <c r="K66" s="226">
        <f>128250*0.1/2</f>
        <v>6412.5</v>
      </c>
      <c r="L66" s="226">
        <v>0</v>
      </c>
      <c r="M66" s="226">
        <v>0</v>
      </c>
      <c r="N66" s="226">
        <v>0</v>
      </c>
      <c r="O66" s="227">
        <f t="shared" si="1"/>
        <v>115425</v>
      </c>
    </row>
    <row r="67" spans="1:15" s="228" customFormat="1" ht="136.5" x14ac:dyDescent="0.2">
      <c r="A67" s="264">
        <v>7</v>
      </c>
      <c r="B67" s="254" t="s">
        <v>1484</v>
      </c>
      <c r="C67" s="230" t="s">
        <v>1488</v>
      </c>
      <c r="D67" s="230" t="s">
        <v>1489</v>
      </c>
      <c r="E67" s="231" t="s">
        <v>492</v>
      </c>
      <c r="F67" s="231" t="s">
        <v>22</v>
      </c>
      <c r="G67" s="231" t="s">
        <v>1144</v>
      </c>
      <c r="H67" s="232" t="s">
        <v>1490</v>
      </c>
      <c r="I67" s="226">
        <v>139650</v>
      </c>
      <c r="J67" s="226">
        <f>139650*0.1/2</f>
        <v>6982.5</v>
      </c>
      <c r="K67" s="226">
        <f>139650*0.1/2</f>
        <v>6982.5</v>
      </c>
      <c r="L67" s="226">
        <v>0</v>
      </c>
      <c r="M67" s="226">
        <v>0</v>
      </c>
      <c r="N67" s="226">
        <v>0</v>
      </c>
      <c r="O67" s="227">
        <f t="shared" si="1"/>
        <v>125685</v>
      </c>
    </row>
    <row r="68" spans="1:15" s="228" customFormat="1" ht="194.25" x14ac:dyDescent="0.2">
      <c r="A68" s="264">
        <v>8</v>
      </c>
      <c r="B68" s="254" t="s">
        <v>1491</v>
      </c>
      <c r="C68" s="230" t="s">
        <v>1492</v>
      </c>
      <c r="D68" s="230" t="s">
        <v>1493</v>
      </c>
      <c r="E68" s="231" t="s">
        <v>699</v>
      </c>
      <c r="F68" s="231" t="s">
        <v>22</v>
      </c>
      <c r="G68" s="231" t="s">
        <v>700</v>
      </c>
      <c r="H68" s="232" t="s">
        <v>1494</v>
      </c>
      <c r="I68" s="226">
        <v>59900</v>
      </c>
      <c r="J68" s="226">
        <v>0</v>
      </c>
      <c r="K68" s="226">
        <v>0</v>
      </c>
      <c r="L68" s="226">
        <v>2040.9</v>
      </c>
      <c r="M68" s="226">
        <v>2040.9</v>
      </c>
      <c r="N68" s="226">
        <v>0</v>
      </c>
      <c r="O68" s="227">
        <f t="shared" si="1"/>
        <v>55818.2</v>
      </c>
    </row>
    <row r="69" spans="1:15" s="228" customFormat="1" ht="135.75" x14ac:dyDescent="0.2">
      <c r="A69" s="264">
        <v>9</v>
      </c>
      <c r="B69" s="254" t="s">
        <v>1495</v>
      </c>
      <c r="C69" s="230" t="s">
        <v>1496</v>
      </c>
      <c r="D69" s="230" t="s">
        <v>1497</v>
      </c>
      <c r="E69" s="231" t="s">
        <v>461</v>
      </c>
      <c r="F69" s="231" t="s">
        <v>22</v>
      </c>
      <c r="G69" s="231" t="s">
        <v>1498</v>
      </c>
      <c r="H69" s="232" t="s">
        <v>1499</v>
      </c>
      <c r="I69" s="226">
        <v>10000</v>
      </c>
      <c r="J69" s="226">
        <v>0</v>
      </c>
      <c r="K69" s="226">
        <v>0</v>
      </c>
      <c r="L69" s="265" t="s">
        <v>1500</v>
      </c>
      <c r="M69" s="226"/>
      <c r="N69" s="226">
        <v>0</v>
      </c>
      <c r="O69" s="227">
        <f t="shared" si="1"/>
        <v>10000</v>
      </c>
    </row>
    <row r="70" spans="1:15" s="228" customFormat="1" ht="78" x14ac:dyDescent="0.2">
      <c r="A70" s="264">
        <v>10</v>
      </c>
      <c r="B70" s="254" t="s">
        <v>1501</v>
      </c>
      <c r="C70" s="230" t="s">
        <v>1502</v>
      </c>
      <c r="D70" s="230" t="s">
        <v>1503</v>
      </c>
      <c r="E70" s="231" t="s">
        <v>451</v>
      </c>
      <c r="F70" s="231" t="s">
        <v>22</v>
      </c>
      <c r="G70" s="231" t="s">
        <v>452</v>
      </c>
      <c r="H70" s="232" t="s">
        <v>1504</v>
      </c>
      <c r="I70" s="226">
        <v>214555.76</v>
      </c>
      <c r="J70" s="226">
        <v>10727.79</v>
      </c>
      <c r="K70" s="226">
        <v>10727.79</v>
      </c>
      <c r="L70" s="226">
        <v>0</v>
      </c>
      <c r="M70" s="226">
        <v>0</v>
      </c>
      <c r="N70" s="226">
        <v>0</v>
      </c>
      <c r="O70" s="227">
        <f t="shared" si="1"/>
        <v>193100.18</v>
      </c>
    </row>
    <row r="71" spans="1:15" s="228" customFormat="1" ht="116.25" x14ac:dyDescent="0.2">
      <c r="A71" s="264">
        <v>11</v>
      </c>
      <c r="B71" s="254" t="s">
        <v>1409</v>
      </c>
      <c r="C71" s="230" t="s">
        <v>1505</v>
      </c>
      <c r="D71" s="230" t="s">
        <v>1506</v>
      </c>
      <c r="E71" s="231" t="s">
        <v>475</v>
      </c>
      <c r="F71" s="231" t="s">
        <v>22</v>
      </c>
      <c r="G71" s="231" t="s">
        <v>1498</v>
      </c>
      <c r="H71" s="232" t="s">
        <v>1507</v>
      </c>
      <c r="I71" s="226">
        <v>42000</v>
      </c>
      <c r="J71" s="226">
        <v>0</v>
      </c>
      <c r="K71" s="226">
        <v>0</v>
      </c>
      <c r="L71" s="265" t="s">
        <v>1500</v>
      </c>
      <c r="M71" s="226"/>
      <c r="N71" s="226">
        <v>0</v>
      </c>
      <c r="O71" s="227">
        <f t="shared" si="1"/>
        <v>42000</v>
      </c>
    </row>
    <row r="72" spans="1:15" s="228" customFormat="1" ht="96.75" x14ac:dyDescent="0.2">
      <c r="A72" s="264">
        <v>12</v>
      </c>
      <c r="B72" s="254" t="s">
        <v>1508</v>
      </c>
      <c r="C72" s="230" t="s">
        <v>1509</v>
      </c>
      <c r="D72" s="230" t="s">
        <v>1510</v>
      </c>
      <c r="E72" s="231" t="s">
        <v>1511</v>
      </c>
      <c r="F72" s="231" t="s">
        <v>22</v>
      </c>
      <c r="G72" s="231" t="s">
        <v>1512</v>
      </c>
      <c r="H72" s="232" t="s">
        <v>1513</v>
      </c>
      <c r="I72" s="226">
        <v>252000</v>
      </c>
      <c r="J72" s="226">
        <v>0</v>
      </c>
      <c r="K72" s="226">
        <v>0</v>
      </c>
      <c r="L72" s="226">
        <v>17500</v>
      </c>
      <c r="M72" s="226">
        <v>17500</v>
      </c>
      <c r="N72" s="226">
        <v>0</v>
      </c>
      <c r="O72" s="227">
        <f t="shared" si="1"/>
        <v>217000</v>
      </c>
    </row>
    <row r="73" spans="1:15" s="228" customFormat="1" ht="135.75" x14ac:dyDescent="0.2">
      <c r="A73" s="264">
        <v>13</v>
      </c>
      <c r="B73" s="254" t="s">
        <v>1514</v>
      </c>
      <c r="C73" s="230" t="s">
        <v>1515</v>
      </c>
      <c r="D73" s="230" t="s">
        <v>1516</v>
      </c>
      <c r="E73" s="231" t="s">
        <v>712</v>
      </c>
      <c r="F73" s="231" t="s">
        <v>22</v>
      </c>
      <c r="G73" s="231" t="s">
        <v>1517</v>
      </c>
      <c r="H73" s="232" t="s">
        <v>1518</v>
      </c>
      <c r="I73" s="226">
        <v>21600</v>
      </c>
      <c r="J73" s="226">
        <v>1080</v>
      </c>
      <c r="K73" s="226">
        <v>1080</v>
      </c>
      <c r="L73" s="226">
        <v>0</v>
      </c>
      <c r="M73" s="226">
        <v>0</v>
      </c>
      <c r="N73" s="226">
        <v>0</v>
      </c>
      <c r="O73" s="227">
        <f t="shared" si="1"/>
        <v>19440</v>
      </c>
    </row>
    <row r="74" spans="1:15" s="228" customFormat="1" ht="175.5" x14ac:dyDescent="0.2">
      <c r="A74" s="264">
        <v>14</v>
      </c>
      <c r="B74" s="254" t="s">
        <v>1519</v>
      </c>
      <c r="C74" s="230" t="s">
        <v>1520</v>
      </c>
      <c r="D74" s="230" t="s">
        <v>1521</v>
      </c>
      <c r="E74" s="231" t="s">
        <v>1202</v>
      </c>
      <c r="F74" s="231" t="s">
        <v>1522</v>
      </c>
      <c r="G74" s="231" t="s">
        <v>1523</v>
      </c>
      <c r="H74" s="232" t="s">
        <v>1524</v>
      </c>
      <c r="I74" s="226">
        <v>2000000</v>
      </c>
      <c r="J74" s="226">
        <v>100000</v>
      </c>
      <c r="K74" s="226">
        <v>100000</v>
      </c>
      <c r="L74" s="226">
        <v>0</v>
      </c>
      <c r="M74" s="226">
        <v>0</v>
      </c>
      <c r="N74" s="226">
        <v>0</v>
      </c>
      <c r="O74" s="227">
        <f t="shared" si="1"/>
        <v>1800000</v>
      </c>
    </row>
    <row r="75" spans="1:15" s="228" customFormat="1" ht="136.5" x14ac:dyDescent="0.2">
      <c r="A75" s="264">
        <v>15</v>
      </c>
      <c r="B75" s="254" t="s">
        <v>1519</v>
      </c>
      <c r="C75" s="230" t="s">
        <v>1520</v>
      </c>
      <c r="D75" s="230" t="s">
        <v>1521</v>
      </c>
      <c r="E75" s="231" t="s">
        <v>1206</v>
      </c>
      <c r="F75" s="231" t="s">
        <v>1522</v>
      </c>
      <c r="G75" s="231" t="s">
        <v>1523</v>
      </c>
      <c r="H75" s="232" t="s">
        <v>1525</v>
      </c>
      <c r="I75" s="226">
        <v>1000000</v>
      </c>
      <c r="J75" s="226">
        <v>50000</v>
      </c>
      <c r="K75" s="226">
        <v>50000</v>
      </c>
      <c r="L75" s="226">
        <v>0</v>
      </c>
      <c r="M75" s="226">
        <v>0</v>
      </c>
      <c r="N75" s="226">
        <v>0</v>
      </c>
      <c r="O75" s="227">
        <f t="shared" si="1"/>
        <v>900000</v>
      </c>
    </row>
    <row r="76" spans="1:15" s="228" customFormat="1" ht="156" x14ac:dyDescent="0.2">
      <c r="A76" s="264">
        <v>16</v>
      </c>
      <c r="B76" s="254" t="s">
        <v>1519</v>
      </c>
      <c r="C76" s="230" t="s">
        <v>1520</v>
      </c>
      <c r="D76" s="230" t="s">
        <v>1521</v>
      </c>
      <c r="E76" s="231" t="s">
        <v>963</v>
      </c>
      <c r="F76" s="231" t="s">
        <v>1522</v>
      </c>
      <c r="G76" s="231" t="s">
        <v>1523</v>
      </c>
      <c r="H76" s="232" t="s">
        <v>1526</v>
      </c>
      <c r="I76" s="226">
        <v>500000</v>
      </c>
      <c r="J76" s="226">
        <v>25000</v>
      </c>
      <c r="K76" s="226">
        <v>25000</v>
      </c>
      <c r="L76" s="226">
        <v>0</v>
      </c>
      <c r="M76" s="226">
        <v>0</v>
      </c>
      <c r="N76" s="226">
        <v>0</v>
      </c>
      <c r="O76" s="227">
        <f t="shared" si="1"/>
        <v>450000</v>
      </c>
    </row>
    <row r="77" spans="1:15" s="228" customFormat="1" ht="136.5" x14ac:dyDescent="0.2">
      <c r="A77" s="264">
        <v>17</v>
      </c>
      <c r="B77" s="254" t="s">
        <v>1519</v>
      </c>
      <c r="C77" s="230" t="s">
        <v>1520</v>
      </c>
      <c r="D77" s="230" t="s">
        <v>1521</v>
      </c>
      <c r="E77" s="231" t="s">
        <v>1527</v>
      </c>
      <c r="F77" s="231" t="s">
        <v>1522</v>
      </c>
      <c r="G77" s="231" t="s">
        <v>1523</v>
      </c>
      <c r="H77" s="232" t="s">
        <v>1528</v>
      </c>
      <c r="I77" s="226">
        <v>1000000</v>
      </c>
      <c r="J77" s="226">
        <v>50000</v>
      </c>
      <c r="K77" s="226">
        <v>50000</v>
      </c>
      <c r="L77" s="226">
        <v>0</v>
      </c>
      <c r="M77" s="226">
        <v>0</v>
      </c>
      <c r="N77" s="226">
        <v>0</v>
      </c>
      <c r="O77" s="227">
        <f t="shared" si="1"/>
        <v>900000</v>
      </c>
    </row>
    <row r="78" spans="1:15" s="228" customFormat="1" ht="97.5" x14ac:dyDescent="0.2">
      <c r="A78" s="264">
        <v>18</v>
      </c>
      <c r="B78" s="254" t="s">
        <v>1414</v>
      </c>
      <c r="C78" s="230" t="s">
        <v>1529</v>
      </c>
      <c r="D78" s="230" t="s">
        <v>1530</v>
      </c>
      <c r="E78" s="231" t="s">
        <v>1531</v>
      </c>
      <c r="F78" s="231" t="s">
        <v>739</v>
      </c>
      <c r="G78" s="231" t="s">
        <v>1103</v>
      </c>
      <c r="H78" s="232" t="s">
        <v>1532</v>
      </c>
      <c r="I78" s="226">
        <v>65336</v>
      </c>
      <c r="J78" s="226">
        <v>0</v>
      </c>
      <c r="K78" s="226">
        <v>0</v>
      </c>
      <c r="L78" s="226">
        <v>32668</v>
      </c>
      <c r="M78" s="226">
        <v>32668</v>
      </c>
      <c r="N78" s="226">
        <v>0</v>
      </c>
      <c r="O78" s="227">
        <f t="shared" si="1"/>
        <v>0</v>
      </c>
    </row>
    <row r="79" spans="1:15" s="228" customFormat="1" ht="97.5" x14ac:dyDescent="0.2">
      <c r="A79" s="264">
        <v>19</v>
      </c>
      <c r="B79" s="254" t="s">
        <v>1414</v>
      </c>
      <c r="C79" s="230" t="s">
        <v>1533</v>
      </c>
      <c r="D79" s="230" t="s">
        <v>1534</v>
      </c>
      <c r="E79" s="231" t="s">
        <v>1511</v>
      </c>
      <c r="F79" s="231" t="s">
        <v>22</v>
      </c>
      <c r="G79" s="231" t="s">
        <v>1512</v>
      </c>
      <c r="H79" s="232" t="s">
        <v>1535</v>
      </c>
      <c r="I79" s="226">
        <v>48000</v>
      </c>
      <c r="J79" s="226">
        <v>0</v>
      </c>
      <c r="K79" s="226">
        <v>0</v>
      </c>
      <c r="L79" s="266" t="s">
        <v>1536</v>
      </c>
      <c r="M79" s="226"/>
      <c r="N79" s="226">
        <v>0</v>
      </c>
      <c r="O79" s="227">
        <f t="shared" si="1"/>
        <v>48000</v>
      </c>
    </row>
    <row r="80" spans="1:15" s="228" customFormat="1" ht="116.25" x14ac:dyDescent="0.2">
      <c r="A80" s="264">
        <v>20</v>
      </c>
      <c r="B80" s="254" t="s">
        <v>1537</v>
      </c>
      <c r="C80" s="230" t="s">
        <v>1538</v>
      </c>
      <c r="D80" s="230" t="s">
        <v>1539</v>
      </c>
      <c r="E80" s="231" t="s">
        <v>1185</v>
      </c>
      <c r="F80" s="231" t="s">
        <v>739</v>
      </c>
      <c r="G80" s="231" t="s">
        <v>1540</v>
      </c>
      <c r="H80" s="232" t="s">
        <v>1541</v>
      </c>
      <c r="I80" s="226">
        <v>698225</v>
      </c>
      <c r="J80" s="226">
        <v>34911.25</v>
      </c>
      <c r="K80" s="226">
        <v>34911.25</v>
      </c>
      <c r="L80" s="266">
        <v>0</v>
      </c>
      <c r="M80" s="226">
        <v>0</v>
      </c>
      <c r="N80" s="226">
        <v>0</v>
      </c>
      <c r="O80" s="227">
        <f t="shared" si="1"/>
        <v>628402.5</v>
      </c>
    </row>
    <row r="81" spans="1:15" s="228" customFormat="1" ht="116.25" x14ac:dyDescent="0.2">
      <c r="A81" s="264">
        <v>21</v>
      </c>
      <c r="B81" s="254" t="s">
        <v>1537</v>
      </c>
      <c r="C81" s="230" t="s">
        <v>1542</v>
      </c>
      <c r="D81" s="230" t="s">
        <v>1539</v>
      </c>
      <c r="E81" s="231" t="s">
        <v>1185</v>
      </c>
      <c r="F81" s="231" t="s">
        <v>739</v>
      </c>
      <c r="G81" s="231" t="s">
        <v>1540</v>
      </c>
      <c r="H81" s="232" t="s">
        <v>1543</v>
      </c>
      <c r="I81" s="226">
        <v>71400</v>
      </c>
      <c r="J81" s="226">
        <v>0</v>
      </c>
      <c r="K81" s="226">
        <v>0</v>
      </c>
      <c r="L81" s="266">
        <v>0</v>
      </c>
      <c r="M81" s="226">
        <v>0</v>
      </c>
      <c r="N81" s="145" t="s">
        <v>311</v>
      </c>
      <c r="O81" s="227">
        <f t="shared" si="1"/>
        <v>71400</v>
      </c>
    </row>
    <row r="82" spans="1:15" s="228" customFormat="1" ht="117" x14ac:dyDescent="0.2">
      <c r="A82" s="264">
        <v>22</v>
      </c>
      <c r="B82" s="254" t="s">
        <v>1544</v>
      </c>
      <c r="C82" s="230" t="s">
        <v>1545</v>
      </c>
      <c r="D82" s="230" t="s">
        <v>1546</v>
      </c>
      <c r="E82" s="231" t="s">
        <v>712</v>
      </c>
      <c r="F82" s="231" t="s">
        <v>22</v>
      </c>
      <c r="G82" s="231" t="s">
        <v>1540</v>
      </c>
      <c r="H82" s="232" t="s">
        <v>1547</v>
      </c>
      <c r="I82" s="226">
        <v>21600</v>
      </c>
      <c r="J82" s="226">
        <v>1080</v>
      </c>
      <c r="K82" s="226">
        <v>1080</v>
      </c>
      <c r="L82" s="266">
        <v>0</v>
      </c>
      <c r="M82" s="226">
        <v>0</v>
      </c>
      <c r="N82" s="226">
        <v>0</v>
      </c>
      <c r="O82" s="227">
        <f t="shared" si="1"/>
        <v>19440</v>
      </c>
    </row>
    <row r="83" spans="1:15" s="228" customFormat="1" ht="194.25" x14ac:dyDescent="0.2">
      <c r="A83" s="264">
        <v>23</v>
      </c>
      <c r="B83" s="254" t="s">
        <v>1548</v>
      </c>
      <c r="C83" s="230" t="s">
        <v>1549</v>
      </c>
      <c r="D83" s="230" t="s">
        <v>1550</v>
      </c>
      <c r="E83" s="231" t="s">
        <v>1551</v>
      </c>
      <c r="F83" s="231" t="s">
        <v>1552</v>
      </c>
      <c r="G83" s="231" t="s">
        <v>1553</v>
      </c>
      <c r="H83" s="232" t="s">
        <v>1554</v>
      </c>
      <c r="I83" s="226">
        <v>800000</v>
      </c>
      <c r="J83" s="226">
        <v>40000</v>
      </c>
      <c r="K83" s="226">
        <v>40000</v>
      </c>
      <c r="L83" s="266">
        <v>0</v>
      </c>
      <c r="M83" s="226">
        <v>0</v>
      </c>
      <c r="N83" s="226">
        <v>0</v>
      </c>
      <c r="O83" s="227">
        <f t="shared" si="1"/>
        <v>720000</v>
      </c>
    </row>
    <row r="84" spans="1:15" s="228" customFormat="1" ht="114.75" x14ac:dyDescent="0.2">
      <c r="A84" s="264">
        <v>24</v>
      </c>
      <c r="B84" s="254" t="s">
        <v>1555</v>
      </c>
      <c r="C84" s="230" t="s">
        <v>1556</v>
      </c>
      <c r="D84" s="230" t="s">
        <v>1557</v>
      </c>
      <c r="E84" s="231" t="s">
        <v>388</v>
      </c>
      <c r="F84" s="231" t="s">
        <v>22</v>
      </c>
      <c r="G84" s="231" t="s">
        <v>718</v>
      </c>
      <c r="H84" s="232" t="s">
        <v>1558</v>
      </c>
      <c r="I84" s="226">
        <v>23500</v>
      </c>
      <c r="J84" s="226">
        <v>0</v>
      </c>
      <c r="K84" s="226">
        <v>0</v>
      </c>
      <c r="L84" s="266">
        <v>0</v>
      </c>
      <c r="M84" s="226">
        <v>0</v>
      </c>
      <c r="N84" s="145" t="s">
        <v>311</v>
      </c>
      <c r="O84" s="227">
        <f t="shared" si="1"/>
        <v>23500</v>
      </c>
    </row>
    <row r="85" spans="1:15" s="228" customFormat="1" ht="155.25" x14ac:dyDescent="0.2">
      <c r="A85" s="264">
        <v>25</v>
      </c>
      <c r="B85" s="254" t="s">
        <v>1559</v>
      </c>
      <c r="C85" s="230" t="s">
        <v>1560</v>
      </c>
      <c r="D85" s="230" t="s">
        <v>1561</v>
      </c>
      <c r="E85" s="231" t="s">
        <v>1562</v>
      </c>
      <c r="F85" s="231" t="s">
        <v>512</v>
      </c>
      <c r="G85" s="231" t="s">
        <v>1134</v>
      </c>
      <c r="H85" s="232" t="s">
        <v>1563</v>
      </c>
      <c r="I85" s="226">
        <v>13200</v>
      </c>
      <c r="J85" s="226">
        <v>6600</v>
      </c>
      <c r="K85" s="226">
        <v>6600</v>
      </c>
      <c r="L85" s="266">
        <v>0</v>
      </c>
      <c r="M85" s="226">
        <v>0</v>
      </c>
      <c r="N85" s="226">
        <v>0</v>
      </c>
      <c r="O85" s="227">
        <f t="shared" si="1"/>
        <v>0</v>
      </c>
    </row>
    <row r="86" spans="1:15" s="228" customFormat="1" ht="155.25" x14ac:dyDescent="0.2">
      <c r="A86" s="264">
        <v>26</v>
      </c>
      <c r="B86" s="254" t="s">
        <v>1564</v>
      </c>
      <c r="C86" s="230" t="s">
        <v>1565</v>
      </c>
      <c r="D86" s="230" t="s">
        <v>1566</v>
      </c>
      <c r="E86" s="231" t="s">
        <v>752</v>
      </c>
      <c r="F86" s="231" t="s">
        <v>1567</v>
      </c>
      <c r="G86" s="231" t="s">
        <v>1568</v>
      </c>
      <c r="H86" s="232" t="s">
        <v>1569</v>
      </c>
      <c r="I86" s="226">
        <v>30547</v>
      </c>
      <c r="J86" s="226">
        <v>0</v>
      </c>
      <c r="K86" s="226">
        <v>0</v>
      </c>
      <c r="L86" s="267">
        <v>15273.5</v>
      </c>
      <c r="M86" s="226">
        <v>15273.5</v>
      </c>
      <c r="N86" s="226">
        <v>0</v>
      </c>
      <c r="O86" s="227">
        <f t="shared" si="1"/>
        <v>0</v>
      </c>
    </row>
    <row r="87" spans="1:15" s="228" customFormat="1" ht="116.25" x14ac:dyDescent="0.2">
      <c r="A87" s="264">
        <v>27</v>
      </c>
      <c r="B87" s="254" t="s">
        <v>1570</v>
      </c>
      <c r="C87" s="230" t="s">
        <v>1571</v>
      </c>
      <c r="D87" s="230" t="s">
        <v>1572</v>
      </c>
      <c r="E87" s="231" t="s">
        <v>1185</v>
      </c>
      <c r="F87" s="231" t="s">
        <v>1186</v>
      </c>
      <c r="G87" s="231" t="s">
        <v>1187</v>
      </c>
      <c r="H87" s="232" t="s">
        <v>1573</v>
      </c>
      <c r="I87" s="226">
        <v>893850</v>
      </c>
      <c r="J87" s="226">
        <v>0</v>
      </c>
      <c r="K87" s="226">
        <v>0</v>
      </c>
      <c r="L87" s="267">
        <v>19588.75</v>
      </c>
      <c r="M87" s="226">
        <v>19588.75</v>
      </c>
      <c r="N87" s="226"/>
      <c r="O87" s="227">
        <f t="shared" si="1"/>
        <v>854672.5</v>
      </c>
    </row>
    <row r="88" spans="1:15" s="228" customFormat="1" ht="78" x14ac:dyDescent="0.2">
      <c r="A88" s="264">
        <v>28</v>
      </c>
      <c r="B88" s="254" t="s">
        <v>1574</v>
      </c>
      <c r="C88" s="230" t="s">
        <v>1575</v>
      </c>
      <c r="D88" s="230" t="s">
        <v>1576</v>
      </c>
      <c r="E88" s="231" t="s">
        <v>1577</v>
      </c>
      <c r="F88" s="231" t="s">
        <v>22</v>
      </c>
      <c r="G88" s="231" t="s">
        <v>1578</v>
      </c>
      <c r="H88" s="232" t="s">
        <v>1579</v>
      </c>
      <c r="I88" s="226">
        <v>170000</v>
      </c>
      <c r="J88" s="226">
        <v>8500</v>
      </c>
      <c r="K88" s="226">
        <v>8500</v>
      </c>
      <c r="L88" s="267"/>
      <c r="M88" s="226"/>
      <c r="N88" s="226"/>
      <c r="O88" s="227">
        <f t="shared" ref="O88:O93" si="6">+I88-(SUM(J88:N88))</f>
        <v>153000</v>
      </c>
    </row>
    <row r="89" spans="1:15" s="228" customFormat="1" ht="97.5" x14ac:dyDescent="0.2">
      <c r="A89" s="264">
        <v>29</v>
      </c>
      <c r="B89" s="254" t="s">
        <v>1574</v>
      </c>
      <c r="C89" s="230" t="s">
        <v>1580</v>
      </c>
      <c r="D89" s="230" t="s">
        <v>1581</v>
      </c>
      <c r="E89" s="231" t="s">
        <v>451</v>
      </c>
      <c r="F89" s="231" t="s">
        <v>22</v>
      </c>
      <c r="G89" s="231" t="s">
        <v>1582</v>
      </c>
      <c r="H89" s="232" t="s">
        <v>1583</v>
      </c>
      <c r="I89" s="226">
        <v>120000</v>
      </c>
      <c r="J89" s="226">
        <v>6000</v>
      </c>
      <c r="K89" s="226">
        <v>6000</v>
      </c>
      <c r="L89" s="267"/>
      <c r="M89" s="226"/>
      <c r="N89" s="226"/>
      <c r="O89" s="227">
        <f t="shared" si="6"/>
        <v>108000</v>
      </c>
    </row>
    <row r="90" spans="1:15" s="228" customFormat="1" ht="116.25" x14ac:dyDescent="0.2">
      <c r="A90" s="264">
        <v>30</v>
      </c>
      <c r="B90" s="254" t="s">
        <v>1584</v>
      </c>
      <c r="C90" s="230" t="s">
        <v>1585</v>
      </c>
      <c r="D90" s="230" t="s">
        <v>1586</v>
      </c>
      <c r="E90" s="231" t="s">
        <v>1587</v>
      </c>
      <c r="F90" s="231" t="s">
        <v>22</v>
      </c>
      <c r="G90" s="231" t="s">
        <v>1588</v>
      </c>
      <c r="H90" s="232" t="s">
        <v>1589</v>
      </c>
      <c r="I90" s="226">
        <v>12000</v>
      </c>
      <c r="J90" s="226">
        <v>0</v>
      </c>
      <c r="K90" s="226"/>
      <c r="L90" s="266" t="s">
        <v>1500</v>
      </c>
      <c r="M90" s="226"/>
      <c r="N90" s="226"/>
      <c r="O90" s="227">
        <f t="shared" si="6"/>
        <v>12000</v>
      </c>
    </row>
    <row r="91" spans="1:15" s="228" customFormat="1" ht="156" x14ac:dyDescent="0.2">
      <c r="A91" s="264">
        <v>31</v>
      </c>
      <c r="B91" s="254">
        <v>242430</v>
      </c>
      <c r="C91" s="230" t="s">
        <v>11</v>
      </c>
      <c r="D91" s="230" t="s">
        <v>1590</v>
      </c>
      <c r="E91" s="231" t="s">
        <v>91</v>
      </c>
      <c r="F91" s="231" t="s">
        <v>91</v>
      </c>
      <c r="G91" s="231" t="s">
        <v>1591</v>
      </c>
      <c r="H91" s="232" t="s">
        <v>1592</v>
      </c>
      <c r="I91" s="226">
        <v>20000</v>
      </c>
      <c r="J91" s="226">
        <v>0</v>
      </c>
      <c r="K91" s="226"/>
      <c r="L91" s="268">
        <v>20000</v>
      </c>
      <c r="M91" s="226"/>
      <c r="N91" s="226"/>
      <c r="O91" s="227">
        <f t="shared" si="6"/>
        <v>0</v>
      </c>
    </row>
    <row r="92" spans="1:15" s="228" customFormat="1" ht="175.5" x14ac:dyDescent="0.2">
      <c r="A92" s="264">
        <v>32</v>
      </c>
      <c r="B92" s="254">
        <v>242430</v>
      </c>
      <c r="C92" s="230" t="s">
        <v>1593</v>
      </c>
      <c r="D92" s="230" t="s">
        <v>1594</v>
      </c>
      <c r="E92" s="231" t="s">
        <v>1595</v>
      </c>
      <c r="F92" s="231" t="s">
        <v>22</v>
      </c>
      <c r="G92" s="231" t="s">
        <v>1596</v>
      </c>
      <c r="H92" s="232" t="s">
        <v>1597</v>
      </c>
      <c r="I92" s="226">
        <v>450.68</v>
      </c>
      <c r="J92" s="226">
        <v>225.34</v>
      </c>
      <c r="K92" s="226">
        <v>225.34</v>
      </c>
      <c r="L92" s="266"/>
      <c r="M92" s="226"/>
      <c r="N92" s="226"/>
      <c r="O92" s="227">
        <f t="shared" si="6"/>
        <v>0</v>
      </c>
    </row>
    <row r="93" spans="1:15" s="228" customFormat="1" ht="135.75" x14ac:dyDescent="0.2">
      <c r="A93" s="264">
        <v>33</v>
      </c>
      <c r="B93" s="254">
        <v>242430</v>
      </c>
      <c r="C93" s="256" t="s">
        <v>1109</v>
      </c>
      <c r="D93" s="230" t="s">
        <v>1598</v>
      </c>
      <c r="E93" s="231" t="s">
        <v>461</v>
      </c>
      <c r="F93" s="231" t="s">
        <v>22</v>
      </c>
      <c r="G93" s="231" t="s">
        <v>1498</v>
      </c>
      <c r="H93" s="232" t="s">
        <v>1599</v>
      </c>
      <c r="I93" s="226">
        <v>18000</v>
      </c>
      <c r="J93" s="226">
        <v>0</v>
      </c>
      <c r="K93" s="226">
        <v>0</v>
      </c>
      <c r="L93" s="265" t="s">
        <v>1500</v>
      </c>
      <c r="M93" s="226"/>
      <c r="N93" s="226">
        <v>0</v>
      </c>
      <c r="O93" s="227">
        <f t="shared" si="6"/>
        <v>18000</v>
      </c>
    </row>
    <row r="94" spans="1:15" x14ac:dyDescent="0.45">
      <c r="A94" s="216" t="s">
        <v>515</v>
      </c>
      <c r="B94" s="251"/>
      <c r="C94" s="217"/>
      <c r="D94" s="217"/>
      <c r="E94" s="218"/>
      <c r="F94" s="219"/>
      <c r="G94" s="219"/>
      <c r="H94" s="219"/>
      <c r="I94" s="220">
        <f>SUM(I95)</f>
        <v>0</v>
      </c>
      <c r="J94" s="220">
        <f t="shared" ref="J94:O94" si="7">SUM(J95)</f>
        <v>0</v>
      </c>
      <c r="K94" s="220">
        <f t="shared" si="7"/>
        <v>0</v>
      </c>
      <c r="L94" s="220">
        <f t="shared" si="7"/>
        <v>0</v>
      </c>
      <c r="M94" s="220">
        <f t="shared" si="7"/>
        <v>0</v>
      </c>
      <c r="N94" s="220">
        <f t="shared" si="7"/>
        <v>0</v>
      </c>
      <c r="O94" s="234">
        <f t="shared" si="7"/>
        <v>0</v>
      </c>
    </row>
    <row r="95" spans="1:15" s="241" customFormat="1" x14ac:dyDescent="0.2">
      <c r="A95" s="235"/>
      <c r="B95" s="269"/>
      <c r="C95" s="236"/>
      <c r="D95" s="236"/>
      <c r="E95" s="237"/>
      <c r="F95" s="238"/>
      <c r="G95" s="238"/>
      <c r="H95" s="238"/>
      <c r="I95" s="239"/>
      <c r="J95" s="239"/>
      <c r="K95" s="239"/>
      <c r="L95" s="239"/>
      <c r="M95" s="239"/>
      <c r="N95" s="239"/>
      <c r="O95" s="240"/>
    </row>
    <row r="96" spans="1:15" s="243" customFormat="1" thickBot="1" x14ac:dyDescent="0.25">
      <c r="A96" s="579" t="s">
        <v>1600</v>
      </c>
      <c r="B96" s="580"/>
      <c r="C96" s="580"/>
      <c r="D96" s="580"/>
      <c r="E96" s="580"/>
      <c r="F96" s="580"/>
      <c r="G96" s="580"/>
      <c r="H96" s="581"/>
      <c r="I96" s="242">
        <f t="shared" ref="I96:O96" si="8">+I10+I60+I94+I8</f>
        <v>19556604.439999998</v>
      </c>
      <c r="J96" s="270">
        <f t="shared" si="8"/>
        <v>1039275.48</v>
      </c>
      <c r="K96" s="242">
        <f t="shared" si="8"/>
        <v>1039275.48</v>
      </c>
      <c r="L96" s="270">
        <f t="shared" si="8"/>
        <v>193763.87</v>
      </c>
      <c r="M96" s="242">
        <f t="shared" si="8"/>
        <v>173763.87</v>
      </c>
      <c r="N96" s="242">
        <f t="shared" si="8"/>
        <v>0</v>
      </c>
      <c r="O96" s="242">
        <f t="shared" si="8"/>
        <v>17110525.740000002</v>
      </c>
    </row>
    <row r="97" spans="1:16" x14ac:dyDescent="0.45">
      <c r="J97" s="272" t="s">
        <v>1601</v>
      </c>
      <c r="K97" s="273"/>
      <c r="L97" s="272" t="s">
        <v>1602</v>
      </c>
    </row>
    <row r="98" spans="1:16" x14ac:dyDescent="0.45">
      <c r="H98" s="274" t="s">
        <v>1603</v>
      </c>
      <c r="I98" s="274"/>
      <c r="J98" s="274"/>
      <c r="K98" s="275"/>
      <c r="L98" s="274"/>
      <c r="M98" s="274"/>
      <c r="N98" s="276">
        <f>+J96+L96</f>
        <v>1233039.3500000001</v>
      </c>
    </row>
    <row r="99" spans="1:16" x14ac:dyDescent="0.45">
      <c r="A99" s="155"/>
      <c r="B99" s="173"/>
      <c r="C99" s="155"/>
      <c r="D99" s="155"/>
      <c r="E99" s="157"/>
      <c r="F99" s="113"/>
      <c r="G99" s="113"/>
      <c r="H99" s="206" t="s">
        <v>1604</v>
      </c>
      <c r="I99" s="206"/>
      <c r="K99" s="248"/>
      <c r="N99" s="275">
        <v>0</v>
      </c>
      <c r="O99" s="113"/>
      <c r="P99" s="113"/>
    </row>
    <row r="100" spans="1:16" ht="20.25" thickBot="1" x14ac:dyDescent="0.5">
      <c r="A100" s="155"/>
      <c r="B100" s="173"/>
      <c r="C100" s="155"/>
      <c r="D100" s="155"/>
      <c r="E100" s="157"/>
      <c r="F100" s="113"/>
      <c r="G100" s="113"/>
      <c r="H100" s="274" t="s">
        <v>1605</v>
      </c>
      <c r="I100" s="274"/>
      <c r="J100" s="274"/>
      <c r="K100" s="275"/>
      <c r="L100" s="274"/>
      <c r="M100" s="274"/>
      <c r="N100" s="277">
        <f>+N98-N99</f>
        <v>1233039.3500000001</v>
      </c>
      <c r="O100" s="113"/>
      <c r="P100" s="113"/>
    </row>
    <row r="101" spans="1:16" ht="21" thickTop="1" thickBot="1" x14ac:dyDescent="0.5">
      <c r="A101" s="155"/>
      <c r="B101" s="173"/>
      <c r="C101" s="155"/>
      <c r="D101" s="155"/>
      <c r="E101" s="157"/>
      <c r="F101" s="113"/>
      <c r="G101" s="113"/>
      <c r="H101" s="113"/>
      <c r="I101" s="158"/>
      <c r="J101" s="113"/>
      <c r="K101" s="113"/>
      <c r="L101" s="113"/>
      <c r="M101" s="113"/>
      <c r="N101" s="113"/>
      <c r="O101" s="113"/>
      <c r="P101" s="113"/>
    </row>
    <row r="102" spans="1:16" x14ac:dyDescent="0.45">
      <c r="A102" s="155"/>
      <c r="B102" s="278"/>
      <c r="C102" s="279"/>
      <c r="D102" s="280"/>
      <c r="E102" s="280"/>
      <c r="F102" s="281"/>
      <c r="G102" s="281"/>
      <c r="H102" s="282"/>
      <c r="I102" s="158"/>
      <c r="J102" s="113"/>
      <c r="K102" s="113"/>
      <c r="L102" s="113"/>
      <c r="M102" s="113"/>
      <c r="N102" s="113"/>
      <c r="O102" s="113"/>
      <c r="P102" s="113"/>
    </row>
    <row r="103" spans="1:16" x14ac:dyDescent="0.45">
      <c r="A103" s="155"/>
      <c r="B103" s="283" t="s">
        <v>1606</v>
      </c>
      <c r="C103" s="284"/>
      <c r="D103" s="285"/>
      <c r="E103" s="285"/>
      <c r="F103" s="286"/>
      <c r="G103" s="286"/>
      <c r="H103" s="287"/>
      <c r="I103" s="158"/>
      <c r="J103" s="113"/>
      <c r="K103" s="113"/>
      <c r="L103" s="113"/>
      <c r="M103" s="113"/>
      <c r="N103" s="113"/>
      <c r="O103" s="113"/>
      <c r="P103" s="113"/>
    </row>
    <row r="104" spans="1:16" x14ac:dyDescent="0.45">
      <c r="A104" s="155"/>
      <c r="B104" s="288" t="s">
        <v>1607</v>
      </c>
      <c r="C104" s="284"/>
      <c r="D104" s="285"/>
      <c r="E104" s="285"/>
      <c r="F104" s="286"/>
      <c r="G104" s="286"/>
      <c r="H104" s="287"/>
      <c r="I104" s="158"/>
      <c r="J104" s="113"/>
      <c r="K104" s="113"/>
      <c r="L104" s="113"/>
      <c r="M104" s="113"/>
      <c r="N104" s="113"/>
      <c r="O104" s="113"/>
      <c r="P104" s="113"/>
    </row>
    <row r="105" spans="1:16" x14ac:dyDescent="0.45">
      <c r="A105" s="155"/>
      <c r="B105" s="288" t="s">
        <v>1608</v>
      </c>
      <c r="C105" s="284"/>
      <c r="D105" s="285"/>
      <c r="E105" s="285"/>
      <c r="F105" s="289">
        <f>+J96+L96</f>
        <v>1233039.3500000001</v>
      </c>
      <c r="G105" s="286"/>
      <c r="H105" s="287"/>
      <c r="I105" s="158"/>
      <c r="J105" s="113"/>
      <c r="K105" s="113"/>
      <c r="L105" s="113"/>
      <c r="M105" s="113"/>
      <c r="N105" s="113"/>
      <c r="O105" s="113"/>
      <c r="P105" s="113"/>
    </row>
    <row r="106" spans="1:16" x14ac:dyDescent="0.45">
      <c r="A106" s="155"/>
      <c r="B106" s="288" t="s">
        <v>1609</v>
      </c>
      <c r="C106" s="284"/>
      <c r="D106" s="285"/>
      <c r="E106" s="285"/>
      <c r="F106" s="286"/>
      <c r="G106" s="289">
        <f>+J96+L96</f>
        <v>1233039.3500000001</v>
      </c>
      <c r="H106" s="287"/>
      <c r="I106" s="158"/>
      <c r="J106" s="113"/>
      <c r="K106" s="113"/>
      <c r="L106" s="113"/>
      <c r="M106" s="113"/>
      <c r="N106" s="113"/>
      <c r="O106" s="113"/>
      <c r="P106" s="113"/>
    </row>
    <row r="107" spans="1:16" x14ac:dyDescent="0.45">
      <c r="A107" s="155"/>
      <c r="B107" s="290"/>
      <c r="C107" s="284"/>
      <c r="D107" s="285"/>
      <c r="E107" s="285"/>
      <c r="F107" s="286"/>
      <c r="G107" s="286"/>
      <c r="H107" s="287"/>
      <c r="I107" s="158"/>
      <c r="J107" s="113"/>
      <c r="K107" s="113"/>
      <c r="L107" s="113"/>
      <c r="M107" s="113"/>
      <c r="N107" s="113"/>
      <c r="O107" s="113"/>
      <c r="P107" s="113"/>
    </row>
    <row r="108" spans="1:16" x14ac:dyDescent="0.45">
      <c r="A108" s="155"/>
      <c r="B108" s="288" t="s">
        <v>1610</v>
      </c>
      <c r="C108" s="284"/>
      <c r="D108" s="285"/>
      <c r="E108" s="285"/>
      <c r="F108" s="286"/>
      <c r="G108" s="286"/>
      <c r="H108" s="287"/>
      <c r="I108" s="158"/>
      <c r="J108" s="113"/>
      <c r="K108" s="113"/>
      <c r="L108" s="113"/>
      <c r="M108" s="113"/>
      <c r="N108" s="113"/>
      <c r="O108" s="113"/>
      <c r="P108" s="113"/>
    </row>
    <row r="109" spans="1:16" x14ac:dyDescent="0.45">
      <c r="A109" s="155"/>
      <c r="B109" s="288" t="s">
        <v>1611</v>
      </c>
      <c r="C109" s="284"/>
      <c r="D109" s="285"/>
      <c r="E109" s="285"/>
      <c r="F109" s="289">
        <f>+J96+L96</f>
        <v>1233039.3500000001</v>
      </c>
      <c r="G109" s="286"/>
      <c r="H109" s="287"/>
      <c r="I109" s="158"/>
      <c r="J109" s="113"/>
      <c r="K109" s="113"/>
      <c r="L109" s="113"/>
      <c r="M109" s="113"/>
      <c r="N109" s="113"/>
      <c r="O109" s="113"/>
      <c r="P109" s="113"/>
    </row>
    <row r="110" spans="1:16" x14ac:dyDescent="0.45">
      <c r="A110" s="155"/>
      <c r="B110" s="288" t="s">
        <v>1612</v>
      </c>
      <c r="C110" s="284"/>
      <c r="D110" s="285"/>
      <c r="E110" s="285"/>
      <c r="F110" s="286"/>
      <c r="G110" s="289">
        <f>+J96+L96</f>
        <v>1233039.3500000001</v>
      </c>
      <c r="H110" s="287"/>
      <c r="I110" s="158"/>
      <c r="J110" s="113"/>
      <c r="K110" s="113"/>
      <c r="L110" s="113"/>
      <c r="M110" s="113"/>
      <c r="N110" s="113"/>
      <c r="O110" s="113"/>
      <c r="P110" s="113"/>
    </row>
    <row r="111" spans="1:16" x14ac:dyDescent="0.45">
      <c r="A111" s="155"/>
      <c r="B111" s="290"/>
      <c r="C111" s="284"/>
      <c r="D111" s="285"/>
      <c r="E111" s="285"/>
      <c r="F111" s="286"/>
      <c r="G111" s="286"/>
      <c r="H111" s="287"/>
      <c r="I111" s="158"/>
      <c r="J111" s="113"/>
      <c r="K111" s="113"/>
      <c r="L111" s="113"/>
      <c r="M111" s="113"/>
      <c r="N111" s="113"/>
      <c r="O111" s="113"/>
      <c r="P111" s="113"/>
    </row>
    <row r="112" spans="1:16" x14ac:dyDescent="0.45">
      <c r="A112" s="155"/>
      <c r="B112" s="288" t="s">
        <v>1613</v>
      </c>
      <c r="C112" s="284"/>
      <c r="D112" s="285"/>
      <c r="E112" s="285"/>
      <c r="F112" s="286"/>
      <c r="G112" s="286"/>
      <c r="H112" s="287"/>
      <c r="I112" s="158"/>
      <c r="J112" s="113"/>
      <c r="K112" s="113"/>
      <c r="L112" s="113"/>
      <c r="M112" s="113"/>
      <c r="N112" s="113"/>
      <c r="O112" s="113"/>
      <c r="P112" s="113"/>
    </row>
    <row r="113" spans="1:16" x14ac:dyDescent="0.45">
      <c r="A113" s="155"/>
      <c r="B113" s="288" t="s">
        <v>1614</v>
      </c>
      <c r="C113" s="284"/>
      <c r="D113" s="285"/>
      <c r="E113" s="285"/>
      <c r="F113" s="289">
        <f>+F109</f>
        <v>1233039.3500000001</v>
      </c>
      <c r="G113" s="286"/>
      <c r="H113" s="287"/>
      <c r="I113" s="158"/>
      <c r="J113" s="113"/>
      <c r="K113" s="113"/>
      <c r="L113" s="113"/>
      <c r="M113" s="113"/>
      <c r="N113" s="113"/>
      <c r="O113" s="113"/>
      <c r="P113" s="113"/>
    </row>
    <row r="114" spans="1:16" x14ac:dyDescent="0.45">
      <c r="A114" s="155"/>
      <c r="B114" s="288" t="s">
        <v>1615</v>
      </c>
      <c r="C114" s="284"/>
      <c r="D114" s="285"/>
      <c r="E114" s="285"/>
      <c r="F114" s="286"/>
      <c r="G114" s="289">
        <f>+G110</f>
        <v>1233039.3500000001</v>
      </c>
      <c r="H114" s="287"/>
      <c r="I114" s="158"/>
      <c r="J114" s="113"/>
      <c r="K114" s="113"/>
      <c r="L114" s="113"/>
      <c r="M114" s="113"/>
      <c r="N114" s="113"/>
      <c r="O114" s="113"/>
      <c r="P114" s="113"/>
    </row>
    <row r="115" spans="1:16" x14ac:dyDescent="0.45">
      <c r="A115" s="155"/>
      <c r="B115" s="288"/>
      <c r="C115" s="284"/>
      <c r="D115" s="285"/>
      <c r="E115" s="285"/>
      <c r="F115" s="286"/>
      <c r="G115" s="286"/>
      <c r="H115" s="287"/>
      <c r="I115" s="158"/>
      <c r="J115" s="113"/>
      <c r="K115" s="113"/>
      <c r="L115" s="113"/>
      <c r="M115" s="113"/>
      <c r="N115" s="113"/>
      <c r="O115" s="113"/>
      <c r="P115" s="113"/>
    </row>
    <row r="116" spans="1:16" x14ac:dyDescent="0.45">
      <c r="A116" s="155"/>
      <c r="B116" s="283" t="s">
        <v>1616</v>
      </c>
      <c r="C116" s="284"/>
      <c r="D116" s="285"/>
      <c r="E116" s="285"/>
      <c r="F116" s="286"/>
      <c r="G116" s="286"/>
      <c r="H116" s="287"/>
      <c r="I116" s="158"/>
      <c r="J116" s="113"/>
      <c r="K116" s="113"/>
      <c r="L116" s="113"/>
      <c r="M116" s="113"/>
      <c r="N116" s="113"/>
      <c r="O116" s="113"/>
      <c r="P116" s="113"/>
    </row>
    <row r="117" spans="1:16" x14ac:dyDescent="0.45">
      <c r="A117" s="155"/>
      <c r="B117" s="283" t="s">
        <v>1617</v>
      </c>
      <c r="C117" s="284"/>
      <c r="D117" s="285"/>
      <c r="E117" s="285"/>
      <c r="F117" s="286"/>
      <c r="G117" s="286"/>
      <c r="H117" s="287"/>
      <c r="I117" s="158"/>
      <c r="J117" s="113"/>
      <c r="K117" s="113"/>
      <c r="L117" s="113"/>
      <c r="M117" s="113"/>
      <c r="N117" s="113"/>
      <c r="O117" s="113"/>
      <c r="P117" s="113"/>
    </row>
    <row r="118" spans="1:16" x14ac:dyDescent="0.45">
      <c r="A118" s="155"/>
      <c r="B118" s="283" t="s">
        <v>1618</v>
      </c>
      <c r="C118" s="284"/>
      <c r="D118" s="285"/>
      <c r="E118" s="285"/>
      <c r="F118" s="286"/>
      <c r="G118" s="286"/>
      <c r="H118" s="287"/>
      <c r="I118" s="158"/>
      <c r="J118" s="113"/>
      <c r="K118" s="113"/>
      <c r="L118" s="113"/>
      <c r="M118" s="113"/>
      <c r="N118" s="113"/>
      <c r="O118" s="113"/>
      <c r="P118" s="113"/>
    </row>
    <row r="119" spans="1:16" x14ac:dyDescent="0.45">
      <c r="A119" s="155"/>
      <c r="B119" s="283" t="s">
        <v>1619</v>
      </c>
      <c r="C119" s="291" t="s">
        <v>1620</v>
      </c>
      <c r="D119" s="285"/>
      <c r="E119" s="285"/>
      <c r="F119" s="286"/>
      <c r="G119" s="286"/>
      <c r="H119" s="287"/>
      <c r="I119" s="158"/>
      <c r="J119" s="113"/>
      <c r="K119" s="113"/>
      <c r="L119" s="113"/>
      <c r="M119" s="113"/>
      <c r="N119" s="113"/>
      <c r="O119" s="113"/>
      <c r="P119" s="113"/>
    </row>
    <row r="120" spans="1:16" x14ac:dyDescent="0.45">
      <c r="A120" s="155"/>
      <c r="B120" s="283"/>
      <c r="C120" s="291" t="s">
        <v>1621</v>
      </c>
      <c r="D120" s="285"/>
      <c r="E120" s="285"/>
      <c r="F120" s="286"/>
      <c r="G120" s="286"/>
      <c r="H120" s="287"/>
      <c r="I120" s="158"/>
      <c r="J120" s="113"/>
      <c r="K120" s="113"/>
      <c r="L120" s="113"/>
      <c r="M120" s="113"/>
      <c r="N120" s="113"/>
      <c r="O120" s="113"/>
      <c r="P120" s="113"/>
    </row>
    <row r="121" spans="1:16" ht="20.25" thickBot="1" x14ac:dyDescent="0.5">
      <c r="A121" s="155"/>
      <c r="B121" s="292"/>
      <c r="C121" s="293"/>
      <c r="D121" s="294"/>
      <c r="E121" s="294"/>
      <c r="F121" s="295"/>
      <c r="G121" s="295"/>
      <c r="H121" s="296"/>
      <c r="I121" s="158"/>
      <c r="J121" s="113"/>
      <c r="K121" s="113"/>
      <c r="L121" s="113"/>
      <c r="M121" s="113"/>
      <c r="N121" s="113"/>
      <c r="O121" s="113"/>
      <c r="P121" s="113"/>
    </row>
    <row r="122" spans="1:16" x14ac:dyDescent="0.45">
      <c r="A122" s="155"/>
      <c r="B122" s="173"/>
      <c r="C122" s="155"/>
      <c r="D122" s="155"/>
      <c r="E122" s="157"/>
      <c r="F122" s="113"/>
      <c r="G122" s="113"/>
      <c r="H122" s="113"/>
      <c r="I122" s="158"/>
      <c r="J122" s="113"/>
      <c r="K122" s="113"/>
      <c r="L122" s="113"/>
      <c r="M122" s="113"/>
      <c r="N122" s="113"/>
      <c r="O122" s="113"/>
      <c r="P122" s="113"/>
    </row>
    <row r="123" spans="1:16" x14ac:dyDescent="0.45">
      <c r="A123" s="155"/>
      <c r="B123" s="173"/>
      <c r="C123" s="155"/>
      <c r="D123" s="155"/>
      <c r="E123" s="157"/>
      <c r="F123" s="113"/>
      <c r="G123" s="113"/>
      <c r="H123" s="113"/>
      <c r="I123" s="158"/>
      <c r="J123" s="113"/>
      <c r="K123" s="113"/>
      <c r="L123" s="113"/>
      <c r="M123" s="113"/>
      <c r="N123" s="113"/>
      <c r="O123" s="113"/>
      <c r="P123" s="113"/>
    </row>
    <row r="124" spans="1:16" x14ac:dyDescent="0.45">
      <c r="A124" s="155"/>
      <c r="B124" s="173"/>
      <c r="C124" s="155"/>
      <c r="D124" s="155"/>
      <c r="E124" s="157"/>
      <c r="F124" s="113"/>
      <c r="G124" s="113"/>
      <c r="H124" s="113"/>
      <c r="I124" s="158"/>
      <c r="J124" s="113"/>
      <c r="K124" s="113"/>
      <c r="L124" s="113"/>
      <c r="M124" s="113"/>
      <c r="N124" s="113"/>
      <c r="O124" s="113"/>
      <c r="P124" s="113"/>
    </row>
    <row r="125" spans="1:16" x14ac:dyDescent="0.45">
      <c r="A125" s="155"/>
      <c r="B125" s="173"/>
      <c r="C125" s="155"/>
      <c r="D125" s="155"/>
      <c r="E125" s="157"/>
      <c r="F125" s="113"/>
      <c r="G125" s="113"/>
      <c r="H125" s="113"/>
      <c r="I125" s="158"/>
      <c r="J125" s="113"/>
      <c r="K125" s="113"/>
      <c r="L125" s="113"/>
      <c r="M125" s="113"/>
      <c r="N125" s="113"/>
      <c r="O125" s="113"/>
      <c r="P125" s="113"/>
    </row>
    <row r="126" spans="1:16" x14ac:dyDescent="0.45">
      <c r="A126" s="155"/>
      <c r="B126" s="173"/>
      <c r="C126" s="155"/>
      <c r="D126" s="155"/>
      <c r="E126" s="157"/>
      <c r="F126" s="113"/>
      <c r="G126" s="113"/>
      <c r="H126" s="113"/>
      <c r="I126" s="158"/>
      <c r="J126" s="113"/>
      <c r="K126" s="113"/>
      <c r="L126" s="113"/>
      <c r="M126" s="113"/>
      <c r="N126" s="113"/>
      <c r="O126" s="113"/>
      <c r="P126" s="113"/>
    </row>
    <row r="127" spans="1:16" x14ac:dyDescent="0.45">
      <c r="A127" s="155"/>
      <c r="B127" s="173"/>
      <c r="C127" s="155"/>
      <c r="D127" s="155"/>
      <c r="E127" s="157"/>
      <c r="F127" s="113"/>
      <c r="G127" s="113"/>
      <c r="H127" s="113"/>
      <c r="I127" s="158"/>
      <c r="J127" s="113"/>
      <c r="K127" s="113"/>
      <c r="L127" s="113"/>
      <c r="M127" s="113"/>
      <c r="N127" s="113"/>
      <c r="O127" s="113"/>
      <c r="P127" s="113"/>
    </row>
    <row r="128" spans="1:16" x14ac:dyDescent="0.45">
      <c r="A128" s="155"/>
      <c r="B128" s="173"/>
      <c r="C128" s="155"/>
      <c r="D128" s="155"/>
      <c r="E128" s="157"/>
      <c r="F128" s="113"/>
      <c r="G128" s="113"/>
      <c r="H128" s="113"/>
      <c r="I128" s="158"/>
      <c r="J128" s="113"/>
      <c r="K128" s="113"/>
      <c r="L128" s="113"/>
      <c r="M128" s="113"/>
      <c r="N128" s="113"/>
      <c r="O128" s="113"/>
      <c r="P128" s="113"/>
    </row>
    <row r="129" spans="1:16" x14ac:dyDescent="0.45">
      <c r="A129" s="155"/>
      <c r="B129" s="173"/>
      <c r="C129" s="155"/>
      <c r="D129" s="155"/>
      <c r="E129" s="157"/>
      <c r="F129" s="113"/>
      <c r="G129" s="113"/>
      <c r="H129" s="113"/>
      <c r="I129" s="158"/>
      <c r="J129" s="113"/>
      <c r="K129" s="113"/>
      <c r="L129" s="113"/>
      <c r="M129" s="113"/>
      <c r="N129" s="113"/>
      <c r="O129" s="113"/>
      <c r="P129" s="113"/>
    </row>
    <row r="130" spans="1:16" x14ac:dyDescent="0.45">
      <c r="A130" s="155"/>
      <c r="B130" s="173"/>
      <c r="C130" s="155"/>
      <c r="D130" s="155"/>
      <c r="E130" s="157"/>
      <c r="F130" s="113"/>
      <c r="G130" s="113"/>
      <c r="H130" s="113"/>
      <c r="I130" s="158"/>
      <c r="J130" s="113"/>
      <c r="K130" s="113"/>
      <c r="L130" s="113"/>
      <c r="M130" s="113"/>
      <c r="N130" s="113"/>
      <c r="O130" s="113"/>
      <c r="P130" s="113"/>
    </row>
    <row r="131" spans="1:16" x14ac:dyDescent="0.45">
      <c r="A131" s="155"/>
      <c r="B131" s="173"/>
      <c r="C131" s="155"/>
      <c r="D131" s="155"/>
      <c r="E131" s="157"/>
      <c r="F131" s="113"/>
      <c r="G131" s="113"/>
      <c r="H131" s="113"/>
      <c r="I131" s="158"/>
      <c r="J131" s="113"/>
      <c r="K131" s="113"/>
      <c r="L131" s="113"/>
      <c r="M131" s="113"/>
      <c r="N131" s="113"/>
      <c r="O131" s="113"/>
      <c r="P131" s="113"/>
    </row>
    <row r="132" spans="1:16" x14ac:dyDescent="0.45">
      <c r="A132" s="155"/>
      <c r="B132" s="173"/>
      <c r="C132" s="155"/>
      <c r="D132" s="155"/>
      <c r="E132" s="157"/>
      <c r="F132" s="113"/>
      <c r="G132" s="113"/>
      <c r="H132" s="113"/>
      <c r="I132" s="158"/>
      <c r="J132" s="113"/>
      <c r="K132" s="113"/>
      <c r="L132" s="113"/>
      <c r="M132" s="113"/>
      <c r="N132" s="113"/>
      <c r="O132" s="113"/>
      <c r="P132" s="113"/>
    </row>
    <row r="133" spans="1:16" x14ac:dyDescent="0.45">
      <c r="A133" s="155"/>
      <c r="B133" s="173"/>
      <c r="C133" s="155"/>
      <c r="D133" s="155"/>
      <c r="E133" s="157"/>
      <c r="F133" s="113"/>
      <c r="G133" s="113"/>
      <c r="H133" s="113"/>
      <c r="I133" s="158"/>
      <c r="J133" s="113"/>
      <c r="K133" s="113"/>
      <c r="L133" s="113"/>
      <c r="M133" s="113"/>
      <c r="N133" s="113"/>
      <c r="O133" s="113"/>
      <c r="P133" s="113"/>
    </row>
    <row r="134" spans="1:16" x14ac:dyDescent="0.45">
      <c r="A134" s="155"/>
      <c r="B134" s="173"/>
      <c r="C134" s="155"/>
      <c r="D134" s="155"/>
      <c r="E134" s="157"/>
      <c r="F134" s="113"/>
      <c r="G134" s="113"/>
      <c r="H134" s="113"/>
      <c r="I134" s="158"/>
      <c r="J134" s="113"/>
      <c r="K134" s="113"/>
      <c r="L134" s="113"/>
      <c r="M134" s="113"/>
      <c r="N134" s="113"/>
      <c r="O134" s="113"/>
      <c r="P134" s="113"/>
    </row>
    <row r="135" spans="1:16" x14ac:dyDescent="0.45">
      <c r="A135" s="155"/>
      <c r="B135" s="173"/>
      <c r="C135" s="155"/>
      <c r="D135" s="155"/>
      <c r="E135" s="157"/>
      <c r="F135" s="113"/>
      <c r="G135" s="113"/>
      <c r="H135" s="113"/>
      <c r="I135" s="158"/>
      <c r="J135" s="113"/>
      <c r="K135" s="113"/>
      <c r="L135" s="113"/>
      <c r="M135" s="113"/>
      <c r="N135" s="113"/>
      <c r="O135" s="113"/>
      <c r="P135" s="113"/>
    </row>
    <row r="136" spans="1:16" x14ac:dyDescent="0.45">
      <c r="A136" s="155"/>
      <c r="B136" s="173"/>
      <c r="C136" s="155"/>
      <c r="D136" s="155"/>
      <c r="E136" s="157"/>
      <c r="F136" s="113"/>
      <c r="G136" s="113"/>
      <c r="H136" s="113"/>
      <c r="I136" s="158"/>
      <c r="J136" s="113"/>
      <c r="K136" s="113"/>
      <c r="L136" s="113"/>
      <c r="M136" s="113"/>
      <c r="N136" s="113"/>
      <c r="O136" s="113"/>
      <c r="P136" s="113"/>
    </row>
    <row r="137" spans="1:16" x14ac:dyDescent="0.45">
      <c r="A137" s="155"/>
      <c r="B137" s="173"/>
      <c r="C137" s="155"/>
      <c r="D137" s="155"/>
      <c r="E137" s="157"/>
      <c r="F137" s="113"/>
      <c r="G137" s="113"/>
      <c r="H137" s="113"/>
      <c r="I137" s="158"/>
      <c r="J137" s="113"/>
      <c r="K137" s="113"/>
      <c r="L137" s="113"/>
      <c r="M137" s="113"/>
      <c r="N137" s="113"/>
      <c r="O137" s="113"/>
      <c r="P137" s="113"/>
    </row>
    <row r="138" spans="1:16" x14ac:dyDescent="0.45">
      <c r="A138" s="155"/>
      <c r="B138" s="173"/>
      <c r="C138" s="155"/>
      <c r="D138" s="155"/>
      <c r="E138" s="157"/>
      <c r="F138" s="113"/>
      <c r="G138" s="113"/>
      <c r="H138" s="113"/>
      <c r="I138" s="158"/>
      <c r="J138" s="113"/>
      <c r="K138" s="113"/>
      <c r="L138" s="113"/>
      <c r="M138" s="113"/>
      <c r="N138" s="113"/>
      <c r="O138" s="113"/>
      <c r="P138" s="113"/>
    </row>
    <row r="139" spans="1:16" x14ac:dyDescent="0.45">
      <c r="A139" s="155"/>
      <c r="B139" s="173"/>
      <c r="C139" s="155"/>
      <c r="D139" s="155"/>
      <c r="E139" s="157"/>
      <c r="F139" s="113"/>
      <c r="G139" s="113"/>
      <c r="H139" s="113"/>
      <c r="I139" s="158"/>
      <c r="J139" s="113"/>
      <c r="K139" s="113"/>
      <c r="L139" s="113"/>
      <c r="M139" s="113"/>
      <c r="N139" s="113"/>
      <c r="O139" s="113"/>
      <c r="P139" s="113"/>
    </row>
    <row r="140" spans="1:16" x14ac:dyDescent="0.45">
      <c r="A140" s="155"/>
      <c r="B140" s="173"/>
      <c r="C140" s="155"/>
      <c r="D140" s="155"/>
      <c r="E140" s="157"/>
      <c r="F140" s="113"/>
      <c r="G140" s="113"/>
      <c r="H140" s="113"/>
      <c r="I140" s="158"/>
      <c r="J140" s="113"/>
      <c r="K140" s="113"/>
      <c r="L140" s="113"/>
      <c r="M140" s="113"/>
      <c r="N140" s="113"/>
      <c r="O140" s="113"/>
      <c r="P140" s="113"/>
    </row>
    <row r="141" spans="1:16" x14ac:dyDescent="0.45">
      <c r="A141" s="155"/>
      <c r="B141" s="173"/>
      <c r="C141" s="155"/>
      <c r="D141" s="155"/>
      <c r="E141" s="157"/>
      <c r="F141" s="113"/>
      <c r="G141" s="113"/>
      <c r="H141" s="113"/>
      <c r="I141" s="158"/>
      <c r="J141" s="113"/>
      <c r="K141" s="113"/>
      <c r="L141" s="113"/>
      <c r="M141" s="113"/>
      <c r="N141" s="113"/>
      <c r="O141" s="113"/>
      <c r="P141" s="113"/>
    </row>
    <row r="142" spans="1:16" x14ac:dyDescent="0.45">
      <c r="A142" s="155"/>
      <c r="B142" s="173"/>
      <c r="C142" s="155"/>
      <c r="D142" s="155"/>
      <c r="E142" s="157"/>
      <c r="F142" s="113"/>
      <c r="G142" s="113"/>
      <c r="H142" s="113"/>
      <c r="I142" s="158"/>
      <c r="J142" s="113"/>
      <c r="K142" s="113"/>
      <c r="L142" s="113"/>
      <c r="M142" s="113"/>
      <c r="N142" s="113"/>
      <c r="O142" s="113"/>
      <c r="P142" s="113"/>
    </row>
    <row r="143" spans="1:16" x14ac:dyDescent="0.45">
      <c r="A143" s="155"/>
      <c r="B143" s="173"/>
      <c r="C143" s="155"/>
      <c r="D143" s="155"/>
      <c r="E143" s="157"/>
      <c r="F143" s="113"/>
      <c r="G143" s="113"/>
      <c r="H143" s="113"/>
      <c r="I143" s="158"/>
      <c r="J143" s="113"/>
      <c r="K143" s="113"/>
      <c r="L143" s="113"/>
      <c r="M143" s="113"/>
      <c r="N143" s="113"/>
      <c r="O143" s="113"/>
      <c r="P143" s="113"/>
    </row>
    <row r="144" spans="1:16" x14ac:dyDescent="0.45">
      <c r="A144" s="155"/>
      <c r="B144" s="173"/>
      <c r="C144" s="155"/>
      <c r="D144" s="155"/>
      <c r="E144" s="157"/>
      <c r="F144" s="113"/>
      <c r="G144" s="113"/>
      <c r="H144" s="113"/>
      <c r="I144" s="158"/>
      <c r="J144" s="113"/>
      <c r="K144" s="113"/>
      <c r="L144" s="113"/>
      <c r="M144" s="113"/>
      <c r="N144" s="113"/>
      <c r="O144" s="113"/>
      <c r="P144" s="113"/>
    </row>
    <row r="145" spans="1:16" x14ac:dyDescent="0.45">
      <c r="A145" s="155"/>
      <c r="B145" s="173"/>
      <c r="C145" s="155"/>
      <c r="D145" s="155"/>
      <c r="E145" s="157"/>
      <c r="F145" s="113"/>
      <c r="G145" s="113"/>
      <c r="H145" s="113"/>
      <c r="I145" s="158"/>
      <c r="J145" s="113"/>
      <c r="K145" s="113"/>
      <c r="L145" s="113"/>
      <c r="M145" s="113"/>
      <c r="N145" s="113"/>
      <c r="O145" s="113"/>
      <c r="P145" s="113"/>
    </row>
    <row r="146" spans="1:16" x14ac:dyDescent="0.45">
      <c r="A146" s="155"/>
      <c r="B146" s="173"/>
      <c r="C146" s="155"/>
      <c r="D146" s="155"/>
      <c r="E146" s="157"/>
      <c r="F146" s="113"/>
      <c r="G146" s="113"/>
      <c r="H146" s="113"/>
      <c r="I146" s="158"/>
      <c r="J146" s="113"/>
      <c r="K146" s="113"/>
      <c r="L146" s="113"/>
      <c r="M146" s="113"/>
      <c r="N146" s="113"/>
      <c r="O146" s="113"/>
      <c r="P146" s="113"/>
    </row>
    <row r="147" spans="1:16" x14ac:dyDescent="0.45">
      <c r="A147" s="155"/>
      <c r="B147" s="173"/>
      <c r="C147" s="155"/>
      <c r="D147" s="155"/>
      <c r="E147" s="157"/>
      <c r="F147" s="113"/>
      <c r="G147" s="113"/>
      <c r="H147" s="113"/>
      <c r="I147" s="158"/>
      <c r="J147" s="113"/>
      <c r="K147" s="113"/>
      <c r="L147" s="113"/>
      <c r="M147" s="113"/>
      <c r="N147" s="113"/>
      <c r="O147" s="113"/>
      <c r="P147" s="113"/>
    </row>
    <row r="148" spans="1:16" x14ac:dyDescent="0.45">
      <c r="A148" s="155"/>
      <c r="B148" s="173"/>
      <c r="C148" s="155"/>
      <c r="D148" s="155"/>
      <c r="E148" s="157"/>
      <c r="F148" s="113"/>
      <c r="G148" s="113"/>
      <c r="H148" s="113"/>
      <c r="I148" s="158"/>
      <c r="J148" s="113"/>
      <c r="K148" s="113"/>
      <c r="L148" s="113"/>
      <c r="M148" s="113"/>
      <c r="N148" s="113"/>
      <c r="O148" s="113"/>
      <c r="P148" s="113"/>
    </row>
    <row r="149" spans="1:16" x14ac:dyDescent="0.45">
      <c r="A149" s="155"/>
      <c r="B149" s="173"/>
      <c r="C149" s="155"/>
      <c r="D149" s="155"/>
      <c r="E149" s="157"/>
      <c r="F149" s="113"/>
      <c r="G149" s="113"/>
      <c r="H149" s="113"/>
      <c r="I149" s="158"/>
      <c r="J149" s="113"/>
      <c r="K149" s="113"/>
      <c r="L149" s="113"/>
      <c r="M149" s="113"/>
      <c r="N149" s="113"/>
      <c r="O149" s="113"/>
      <c r="P149" s="113"/>
    </row>
    <row r="150" spans="1:16" x14ac:dyDescent="0.45">
      <c r="A150" s="155"/>
      <c r="B150" s="173"/>
      <c r="C150" s="155"/>
      <c r="D150" s="155"/>
      <c r="E150" s="157"/>
      <c r="F150" s="113"/>
      <c r="G150" s="113"/>
      <c r="H150" s="113"/>
      <c r="I150" s="158"/>
      <c r="J150" s="113"/>
      <c r="K150" s="113"/>
      <c r="L150" s="113"/>
      <c r="M150" s="113"/>
      <c r="N150" s="113"/>
      <c r="O150" s="113"/>
      <c r="P150" s="113"/>
    </row>
    <row r="151" spans="1:16" x14ac:dyDescent="0.45">
      <c r="A151" s="155"/>
      <c r="B151" s="173"/>
      <c r="C151" s="155"/>
      <c r="D151" s="155"/>
      <c r="E151" s="157"/>
      <c r="F151" s="113"/>
      <c r="G151" s="113"/>
      <c r="H151" s="113"/>
      <c r="I151" s="158"/>
      <c r="J151" s="113"/>
      <c r="K151" s="113"/>
      <c r="L151" s="113"/>
      <c r="M151" s="113"/>
      <c r="N151" s="113"/>
      <c r="O151" s="113"/>
      <c r="P151" s="113"/>
    </row>
    <row r="152" spans="1:16" x14ac:dyDescent="0.45">
      <c r="A152" s="155"/>
      <c r="B152" s="173"/>
      <c r="C152" s="155"/>
      <c r="D152" s="155"/>
      <c r="E152" s="157"/>
      <c r="F152" s="113"/>
      <c r="G152" s="113"/>
      <c r="H152" s="113"/>
      <c r="I152" s="158"/>
      <c r="J152" s="113"/>
      <c r="K152" s="113"/>
      <c r="L152" s="113"/>
      <c r="M152" s="113"/>
      <c r="N152" s="113"/>
      <c r="O152" s="113"/>
      <c r="P152" s="113"/>
    </row>
    <row r="153" spans="1:16" x14ac:dyDescent="0.45">
      <c r="A153" s="155"/>
      <c r="B153" s="173"/>
      <c r="C153" s="155"/>
      <c r="D153" s="155"/>
      <c r="E153" s="157"/>
      <c r="F153" s="113"/>
      <c r="G153" s="113"/>
      <c r="H153" s="113"/>
      <c r="I153" s="158"/>
      <c r="J153" s="113"/>
      <c r="K153" s="113"/>
      <c r="L153" s="113"/>
      <c r="M153" s="113"/>
      <c r="N153" s="113"/>
      <c r="O153" s="113"/>
      <c r="P153" s="113"/>
    </row>
    <row r="154" spans="1:16" x14ac:dyDescent="0.45">
      <c r="A154" s="155"/>
      <c r="B154" s="173"/>
      <c r="C154" s="155"/>
      <c r="D154" s="155"/>
      <c r="E154" s="157"/>
      <c r="F154" s="113"/>
      <c r="G154" s="113"/>
      <c r="H154" s="113"/>
      <c r="I154" s="158"/>
      <c r="J154" s="113"/>
      <c r="K154" s="113"/>
      <c r="L154" s="113"/>
      <c r="M154" s="113"/>
      <c r="N154" s="113"/>
      <c r="O154" s="113"/>
      <c r="P154" s="113"/>
    </row>
    <row r="155" spans="1:16" x14ac:dyDescent="0.45">
      <c r="A155" s="155"/>
      <c r="B155" s="173"/>
      <c r="C155" s="155"/>
      <c r="D155" s="155"/>
      <c r="E155" s="157"/>
      <c r="F155" s="113"/>
      <c r="G155" s="113"/>
      <c r="H155" s="113"/>
      <c r="I155" s="158"/>
      <c r="J155" s="113"/>
      <c r="K155" s="113"/>
      <c r="L155" s="113"/>
      <c r="M155" s="113"/>
      <c r="N155" s="113"/>
      <c r="O155" s="113"/>
      <c r="P155" s="113"/>
    </row>
    <row r="156" spans="1:16" x14ac:dyDescent="0.45">
      <c r="A156" s="155"/>
      <c r="B156" s="173"/>
      <c r="C156" s="155"/>
      <c r="D156" s="155"/>
      <c r="E156" s="157"/>
      <c r="F156" s="113"/>
      <c r="G156" s="113"/>
      <c r="H156" s="113"/>
      <c r="I156" s="158"/>
      <c r="J156" s="113"/>
      <c r="K156" s="113"/>
      <c r="L156" s="113"/>
      <c r="M156" s="113"/>
      <c r="N156" s="113"/>
      <c r="O156" s="113"/>
      <c r="P156" s="113"/>
    </row>
    <row r="157" spans="1:16" x14ac:dyDescent="0.45">
      <c r="A157" s="155"/>
      <c r="B157" s="173"/>
      <c r="C157" s="155"/>
      <c r="D157" s="155"/>
      <c r="E157" s="157"/>
      <c r="F157" s="113"/>
      <c r="G157" s="113"/>
      <c r="H157" s="113"/>
      <c r="I157" s="158"/>
      <c r="J157" s="113"/>
      <c r="K157" s="113"/>
      <c r="L157" s="113"/>
      <c r="M157" s="113"/>
      <c r="N157" s="113"/>
      <c r="O157" s="113"/>
      <c r="P157" s="113"/>
    </row>
    <row r="158" spans="1:16" x14ac:dyDescent="0.45">
      <c r="A158" s="155"/>
      <c r="B158" s="173"/>
      <c r="C158" s="155"/>
      <c r="D158" s="155"/>
      <c r="E158" s="157"/>
      <c r="F158" s="113"/>
      <c r="G158" s="113"/>
      <c r="H158" s="113"/>
      <c r="I158" s="158"/>
      <c r="J158" s="113"/>
      <c r="K158" s="113"/>
      <c r="L158" s="113"/>
      <c r="M158" s="113"/>
      <c r="N158" s="113"/>
      <c r="O158" s="113"/>
      <c r="P158" s="113"/>
    </row>
    <row r="159" spans="1:16" x14ac:dyDescent="0.45">
      <c r="A159" s="155"/>
      <c r="B159" s="173"/>
      <c r="C159" s="155"/>
      <c r="D159" s="155"/>
      <c r="E159" s="157"/>
      <c r="F159" s="113"/>
      <c r="G159" s="113"/>
      <c r="H159" s="113"/>
      <c r="I159" s="158"/>
      <c r="J159" s="113"/>
      <c r="K159" s="113"/>
      <c r="L159" s="113"/>
      <c r="M159" s="113"/>
      <c r="N159" s="113"/>
      <c r="O159" s="113"/>
      <c r="P159" s="113"/>
    </row>
    <row r="160" spans="1:16" x14ac:dyDescent="0.45">
      <c r="A160" s="155"/>
      <c r="B160" s="173"/>
      <c r="C160" s="155"/>
      <c r="D160" s="155"/>
      <c r="E160" s="157"/>
      <c r="F160" s="113"/>
      <c r="G160" s="113"/>
      <c r="H160" s="113"/>
      <c r="I160" s="158"/>
      <c r="J160" s="113"/>
      <c r="K160" s="113"/>
      <c r="L160" s="113"/>
      <c r="M160" s="113"/>
      <c r="N160" s="113"/>
      <c r="O160" s="113"/>
      <c r="P160" s="113"/>
    </row>
    <row r="161" spans="1:16" x14ac:dyDescent="0.45">
      <c r="A161" s="155"/>
      <c r="B161" s="173"/>
      <c r="C161" s="155"/>
      <c r="D161" s="155"/>
      <c r="E161" s="157"/>
      <c r="F161" s="113"/>
      <c r="G161" s="113"/>
      <c r="H161" s="113"/>
      <c r="I161" s="158"/>
      <c r="J161" s="113"/>
      <c r="K161" s="113"/>
      <c r="L161" s="113"/>
      <c r="M161" s="113"/>
      <c r="N161" s="113"/>
      <c r="O161" s="113"/>
      <c r="P161" s="113"/>
    </row>
    <row r="162" spans="1:16" x14ac:dyDescent="0.45">
      <c r="A162" s="155"/>
      <c r="B162" s="173"/>
      <c r="C162" s="155"/>
      <c r="D162" s="155"/>
      <c r="E162" s="157"/>
      <c r="F162" s="113"/>
      <c r="G162" s="113"/>
      <c r="H162" s="113"/>
      <c r="I162" s="158"/>
      <c r="J162" s="113"/>
      <c r="K162" s="113"/>
      <c r="L162" s="113"/>
      <c r="M162" s="113"/>
      <c r="N162" s="113"/>
      <c r="O162" s="113"/>
      <c r="P162" s="113"/>
    </row>
    <row r="163" spans="1:16" x14ac:dyDescent="0.45">
      <c r="A163" s="155"/>
      <c r="B163" s="173"/>
      <c r="C163" s="155"/>
      <c r="D163" s="155"/>
      <c r="E163" s="157"/>
      <c r="F163" s="113"/>
      <c r="G163" s="113"/>
      <c r="H163" s="113"/>
      <c r="I163" s="158"/>
      <c r="J163" s="113"/>
      <c r="K163" s="113"/>
      <c r="L163" s="113"/>
      <c r="M163" s="113"/>
      <c r="N163" s="113"/>
      <c r="O163" s="113"/>
      <c r="P163" s="113"/>
    </row>
    <row r="164" spans="1:16" x14ac:dyDescent="0.45">
      <c r="A164" s="155"/>
      <c r="B164" s="173"/>
      <c r="C164" s="155"/>
      <c r="D164" s="155"/>
      <c r="E164" s="157"/>
      <c r="F164" s="113"/>
      <c r="G164" s="113"/>
      <c r="H164" s="113"/>
      <c r="I164" s="158"/>
      <c r="J164" s="113"/>
      <c r="K164" s="113"/>
      <c r="L164" s="113"/>
      <c r="M164" s="113"/>
      <c r="N164" s="113"/>
      <c r="O164" s="113"/>
      <c r="P164" s="113"/>
    </row>
    <row r="165" spans="1:16" x14ac:dyDescent="0.45">
      <c r="A165" s="155"/>
      <c r="B165" s="173"/>
      <c r="C165" s="155"/>
      <c r="D165" s="155"/>
      <c r="E165" s="157"/>
      <c r="F165" s="113"/>
      <c r="G165" s="113"/>
      <c r="H165" s="113"/>
      <c r="I165" s="158"/>
      <c r="J165" s="113"/>
      <c r="K165" s="113"/>
      <c r="L165" s="113"/>
      <c r="M165" s="113"/>
      <c r="N165" s="113"/>
      <c r="O165" s="113"/>
      <c r="P165" s="113"/>
    </row>
    <row r="166" spans="1:16" x14ac:dyDescent="0.45">
      <c r="A166" s="155"/>
      <c r="B166" s="173"/>
      <c r="C166" s="155"/>
      <c r="D166" s="155"/>
      <c r="E166" s="157"/>
      <c r="F166" s="113"/>
      <c r="G166" s="113"/>
      <c r="H166" s="113"/>
      <c r="I166" s="158"/>
      <c r="J166" s="113"/>
      <c r="K166" s="113"/>
      <c r="L166" s="113"/>
      <c r="M166" s="113"/>
      <c r="N166" s="113"/>
      <c r="O166" s="113"/>
      <c r="P166" s="113"/>
    </row>
    <row r="167" spans="1:16" x14ac:dyDescent="0.45">
      <c r="A167" s="155"/>
      <c r="B167" s="173"/>
      <c r="C167" s="155"/>
      <c r="D167" s="155"/>
      <c r="E167" s="157"/>
      <c r="F167" s="113"/>
      <c r="G167" s="113"/>
      <c r="H167" s="113"/>
      <c r="I167" s="158"/>
      <c r="J167" s="113"/>
      <c r="K167" s="113"/>
      <c r="L167" s="113"/>
      <c r="M167" s="113"/>
      <c r="N167" s="113"/>
      <c r="O167" s="113"/>
      <c r="P167" s="113"/>
    </row>
    <row r="168" spans="1:16" x14ac:dyDescent="0.45">
      <c r="A168" s="155"/>
      <c r="B168" s="173"/>
      <c r="C168" s="155"/>
      <c r="D168" s="155"/>
      <c r="E168" s="157"/>
      <c r="F168" s="113"/>
      <c r="G168" s="113"/>
      <c r="H168" s="113"/>
      <c r="I168" s="158"/>
      <c r="J168" s="113"/>
      <c r="K168" s="113"/>
      <c r="L168" s="113"/>
      <c r="M168" s="113"/>
      <c r="N168" s="113"/>
      <c r="O168" s="113"/>
      <c r="P168" s="113"/>
    </row>
    <row r="169" spans="1:16" x14ac:dyDescent="0.45">
      <c r="A169" s="155"/>
      <c r="B169" s="173"/>
      <c r="C169" s="155"/>
      <c r="D169" s="155"/>
      <c r="E169" s="157"/>
      <c r="F169" s="113"/>
      <c r="G169" s="113"/>
      <c r="H169" s="113"/>
      <c r="I169" s="158"/>
      <c r="J169" s="113"/>
      <c r="K169" s="113"/>
      <c r="L169" s="113"/>
      <c r="M169" s="113"/>
      <c r="N169" s="113"/>
      <c r="O169" s="113"/>
      <c r="P169" s="113"/>
    </row>
    <row r="170" spans="1:16" x14ac:dyDescent="0.45">
      <c r="A170" s="155"/>
      <c r="B170" s="173"/>
      <c r="C170" s="155"/>
      <c r="D170" s="155"/>
      <c r="E170" s="157"/>
      <c r="F170" s="113"/>
      <c r="G170" s="113"/>
      <c r="H170" s="113"/>
      <c r="I170" s="158"/>
      <c r="J170" s="113"/>
      <c r="K170" s="113"/>
      <c r="L170" s="113"/>
      <c r="M170" s="113"/>
      <c r="N170" s="113"/>
      <c r="O170" s="113"/>
      <c r="P170" s="113"/>
    </row>
    <row r="171" spans="1:16" x14ac:dyDescent="0.45">
      <c r="A171" s="155"/>
      <c r="B171" s="173"/>
      <c r="C171" s="155"/>
      <c r="D171" s="155"/>
      <c r="E171" s="157"/>
      <c r="F171" s="113"/>
      <c r="G171" s="113"/>
      <c r="H171" s="113"/>
      <c r="I171" s="158"/>
      <c r="J171" s="113"/>
      <c r="K171" s="113"/>
      <c r="L171" s="113"/>
      <c r="M171" s="113"/>
      <c r="N171" s="113"/>
      <c r="O171" s="113"/>
      <c r="P171" s="113"/>
    </row>
    <row r="172" spans="1:16" x14ac:dyDescent="0.45">
      <c r="A172" s="155"/>
      <c r="B172" s="173"/>
      <c r="C172" s="155"/>
      <c r="D172" s="155"/>
      <c r="E172" s="157"/>
      <c r="F172" s="113"/>
      <c r="G172" s="113"/>
      <c r="H172" s="113"/>
      <c r="I172" s="158"/>
      <c r="J172" s="113"/>
      <c r="K172" s="113"/>
      <c r="L172" s="113"/>
      <c r="M172" s="113"/>
      <c r="N172" s="113"/>
      <c r="O172" s="113"/>
      <c r="P172" s="113"/>
    </row>
    <row r="173" spans="1:16" x14ac:dyDescent="0.45">
      <c r="A173" s="155"/>
      <c r="B173" s="173"/>
      <c r="C173" s="155"/>
      <c r="D173" s="155"/>
      <c r="E173" s="157"/>
      <c r="F173" s="113"/>
      <c r="G173" s="113"/>
      <c r="H173" s="113"/>
      <c r="I173" s="158"/>
      <c r="J173" s="113"/>
      <c r="K173" s="113"/>
      <c r="L173" s="113"/>
      <c r="M173" s="113"/>
      <c r="N173" s="113"/>
      <c r="O173" s="113"/>
      <c r="P173" s="113"/>
    </row>
    <row r="174" spans="1:16" x14ac:dyDescent="0.45">
      <c r="A174" s="155"/>
      <c r="B174" s="173"/>
      <c r="C174" s="155"/>
      <c r="D174" s="155"/>
      <c r="E174" s="157"/>
      <c r="F174" s="113"/>
      <c r="G174" s="113"/>
      <c r="H174" s="113"/>
      <c r="I174" s="158"/>
      <c r="J174" s="113"/>
      <c r="K174" s="113"/>
      <c r="L174" s="113"/>
      <c r="M174" s="113"/>
      <c r="N174" s="113"/>
      <c r="O174" s="113"/>
      <c r="P174" s="113"/>
    </row>
    <row r="175" spans="1:16" x14ac:dyDescent="0.45">
      <c r="A175" s="155"/>
      <c r="B175" s="173"/>
      <c r="C175" s="155"/>
      <c r="D175" s="155"/>
      <c r="E175" s="157"/>
      <c r="F175" s="113"/>
      <c r="G175" s="113"/>
      <c r="H175" s="113"/>
      <c r="I175" s="158"/>
      <c r="J175" s="113"/>
      <c r="K175" s="113"/>
      <c r="L175" s="113"/>
      <c r="M175" s="113"/>
      <c r="N175" s="113"/>
      <c r="O175" s="113"/>
      <c r="P175" s="113"/>
    </row>
    <row r="176" spans="1:16" x14ac:dyDescent="0.45">
      <c r="A176" s="155"/>
      <c r="B176" s="173"/>
      <c r="C176" s="155"/>
      <c r="D176" s="155"/>
      <c r="E176" s="157"/>
      <c r="F176" s="113"/>
      <c r="G176" s="113"/>
      <c r="H176" s="113"/>
      <c r="I176" s="158"/>
      <c r="J176" s="113"/>
      <c r="K176" s="113"/>
      <c r="L176" s="113"/>
      <c r="M176" s="113"/>
      <c r="N176" s="113"/>
      <c r="O176" s="113"/>
      <c r="P176" s="113"/>
    </row>
    <row r="177" spans="1:16" x14ac:dyDescent="0.45">
      <c r="A177" s="155"/>
      <c r="B177" s="173"/>
      <c r="C177" s="155"/>
      <c r="D177" s="155"/>
      <c r="E177" s="157"/>
      <c r="F177" s="113"/>
      <c r="G177" s="113"/>
      <c r="H177" s="113"/>
      <c r="I177" s="158"/>
      <c r="J177" s="113"/>
      <c r="K177" s="113"/>
      <c r="L177" s="113"/>
      <c r="M177" s="113"/>
      <c r="N177" s="113"/>
      <c r="O177" s="113"/>
      <c r="P177" s="113"/>
    </row>
    <row r="178" spans="1:16" x14ac:dyDescent="0.45">
      <c r="A178" s="155"/>
      <c r="B178" s="173"/>
      <c r="C178" s="155"/>
      <c r="D178" s="155"/>
      <c r="E178" s="157"/>
      <c r="F178" s="113"/>
      <c r="G178" s="113"/>
      <c r="H178" s="113"/>
      <c r="I178" s="158"/>
      <c r="J178" s="113"/>
      <c r="K178" s="113"/>
      <c r="L178" s="113"/>
      <c r="M178" s="113"/>
      <c r="N178" s="113"/>
      <c r="O178" s="113"/>
      <c r="P178" s="113"/>
    </row>
    <row r="179" spans="1:16" x14ac:dyDescent="0.45">
      <c r="A179" s="155"/>
      <c r="B179" s="173"/>
      <c r="C179" s="155"/>
      <c r="D179" s="155"/>
      <c r="E179" s="157"/>
      <c r="F179" s="113"/>
      <c r="G179" s="113"/>
      <c r="H179" s="113"/>
      <c r="I179" s="158"/>
      <c r="J179" s="113"/>
      <c r="K179" s="113"/>
      <c r="L179" s="113"/>
      <c r="M179" s="113"/>
      <c r="N179" s="113"/>
      <c r="O179" s="113"/>
      <c r="P179" s="113"/>
    </row>
    <row r="180" spans="1:16" x14ac:dyDescent="0.45">
      <c r="A180" s="155"/>
      <c r="B180" s="173"/>
      <c r="C180" s="155"/>
      <c r="D180" s="155"/>
      <c r="E180" s="157"/>
      <c r="F180" s="113"/>
      <c r="G180" s="113"/>
      <c r="H180" s="113"/>
      <c r="I180" s="158"/>
      <c r="J180" s="113"/>
      <c r="K180" s="113"/>
      <c r="L180" s="113"/>
      <c r="M180" s="113"/>
      <c r="N180" s="113"/>
      <c r="O180" s="113"/>
      <c r="P180" s="113"/>
    </row>
    <row r="181" spans="1:16" x14ac:dyDescent="0.45">
      <c r="A181" s="155"/>
      <c r="B181" s="173"/>
      <c r="C181" s="155"/>
      <c r="D181" s="155"/>
      <c r="E181" s="157"/>
      <c r="F181" s="113"/>
      <c r="G181" s="113"/>
      <c r="H181" s="113"/>
      <c r="I181" s="158"/>
      <c r="J181" s="113"/>
      <c r="K181" s="113"/>
      <c r="L181" s="113"/>
      <c r="M181" s="113"/>
      <c r="N181" s="113"/>
      <c r="O181" s="113"/>
      <c r="P181" s="113"/>
    </row>
    <row r="182" spans="1:16" x14ac:dyDescent="0.45">
      <c r="A182" s="155"/>
      <c r="B182" s="173"/>
      <c r="C182" s="155"/>
      <c r="D182" s="155"/>
      <c r="E182" s="157"/>
      <c r="F182" s="113"/>
      <c r="G182" s="113"/>
      <c r="H182" s="113"/>
      <c r="I182" s="158"/>
      <c r="J182" s="113"/>
      <c r="K182" s="113"/>
      <c r="L182" s="113"/>
      <c r="M182" s="113"/>
      <c r="N182" s="113"/>
      <c r="O182" s="113"/>
      <c r="P182" s="113"/>
    </row>
    <row r="183" spans="1:16" x14ac:dyDescent="0.45">
      <c r="A183" s="155"/>
      <c r="B183" s="173"/>
      <c r="C183" s="155"/>
      <c r="D183" s="155"/>
      <c r="E183" s="157"/>
      <c r="F183" s="113"/>
      <c r="G183" s="113"/>
      <c r="H183" s="113"/>
      <c r="I183" s="158"/>
      <c r="J183" s="113"/>
      <c r="K183" s="113"/>
      <c r="L183" s="113"/>
      <c r="M183" s="113"/>
      <c r="N183" s="113"/>
      <c r="O183" s="113"/>
      <c r="P183" s="113"/>
    </row>
    <row r="184" spans="1:16" x14ac:dyDescent="0.45">
      <c r="A184" s="155"/>
      <c r="B184" s="173"/>
      <c r="C184" s="155"/>
      <c r="D184" s="155"/>
      <c r="E184" s="157"/>
      <c r="F184" s="113"/>
      <c r="G184" s="113"/>
      <c r="H184" s="113"/>
      <c r="I184" s="158"/>
      <c r="J184" s="113"/>
      <c r="K184" s="113"/>
      <c r="L184" s="113"/>
      <c r="M184" s="113"/>
      <c r="N184" s="113"/>
      <c r="O184" s="113"/>
      <c r="P184" s="113"/>
    </row>
    <row r="185" spans="1:16" x14ac:dyDescent="0.45">
      <c r="A185" s="155"/>
      <c r="B185" s="173"/>
      <c r="C185" s="155"/>
      <c r="D185" s="155"/>
      <c r="E185" s="157"/>
      <c r="F185" s="113"/>
      <c r="G185" s="113"/>
      <c r="H185" s="113"/>
      <c r="I185" s="158"/>
      <c r="J185" s="113"/>
      <c r="K185" s="113"/>
      <c r="L185" s="113"/>
      <c r="M185" s="113"/>
      <c r="N185" s="113"/>
      <c r="O185" s="113"/>
      <c r="P185" s="113"/>
    </row>
    <row r="186" spans="1:16" x14ac:dyDescent="0.45">
      <c r="A186" s="155"/>
      <c r="B186" s="173"/>
      <c r="C186" s="155"/>
      <c r="D186" s="155"/>
      <c r="E186" s="157"/>
      <c r="F186" s="113"/>
      <c r="G186" s="113"/>
      <c r="H186" s="113"/>
      <c r="I186" s="158"/>
      <c r="J186" s="113"/>
      <c r="K186" s="113"/>
      <c r="L186" s="113"/>
      <c r="M186" s="113"/>
      <c r="N186" s="113"/>
      <c r="O186" s="113"/>
      <c r="P186" s="113"/>
    </row>
    <row r="187" spans="1:16" x14ac:dyDescent="0.45">
      <c r="A187" s="155"/>
      <c r="B187" s="173"/>
      <c r="C187" s="155"/>
      <c r="D187" s="155"/>
      <c r="E187" s="157"/>
      <c r="F187" s="113"/>
      <c r="G187" s="113"/>
      <c r="H187" s="113"/>
      <c r="I187" s="158"/>
      <c r="J187" s="113"/>
      <c r="K187" s="113"/>
      <c r="L187" s="113"/>
      <c r="M187" s="113"/>
      <c r="N187" s="113"/>
      <c r="O187" s="113"/>
      <c r="P187" s="113"/>
    </row>
    <row r="188" spans="1:16" x14ac:dyDescent="0.45">
      <c r="A188" s="155"/>
      <c r="B188" s="173"/>
      <c r="C188" s="155"/>
      <c r="D188" s="155"/>
      <c r="E188" s="157"/>
      <c r="F188" s="113"/>
      <c r="G188" s="113"/>
      <c r="H188" s="113"/>
      <c r="I188" s="158"/>
      <c r="J188" s="113"/>
      <c r="K188" s="113"/>
      <c r="L188" s="113"/>
      <c r="M188" s="113"/>
      <c r="N188" s="113"/>
      <c r="O188" s="113"/>
      <c r="P188" s="113"/>
    </row>
    <row r="189" spans="1:16" x14ac:dyDescent="0.45">
      <c r="A189" s="155"/>
      <c r="B189" s="173"/>
      <c r="C189" s="155"/>
      <c r="D189" s="155"/>
      <c r="E189" s="157"/>
      <c r="F189" s="113"/>
      <c r="G189" s="113"/>
      <c r="H189" s="113"/>
      <c r="I189" s="158"/>
      <c r="J189" s="113"/>
      <c r="K189" s="113"/>
      <c r="L189" s="113"/>
      <c r="M189" s="113"/>
      <c r="N189" s="113"/>
      <c r="O189" s="113"/>
      <c r="P189" s="113"/>
    </row>
    <row r="190" spans="1:16" x14ac:dyDescent="0.45">
      <c r="A190" s="155"/>
      <c r="B190" s="173"/>
      <c r="C190" s="155"/>
      <c r="D190" s="155"/>
      <c r="E190" s="157"/>
      <c r="F190" s="113"/>
      <c r="G190" s="113"/>
      <c r="H190" s="113"/>
      <c r="I190" s="158"/>
      <c r="J190" s="113"/>
      <c r="K190" s="113"/>
      <c r="L190" s="113"/>
      <c r="M190" s="113"/>
      <c r="N190" s="113"/>
      <c r="O190" s="113"/>
      <c r="P190" s="113"/>
    </row>
    <row r="191" spans="1:16" x14ac:dyDescent="0.45">
      <c r="A191" s="155"/>
      <c r="B191" s="173"/>
      <c r="C191" s="155"/>
      <c r="D191" s="155"/>
      <c r="E191" s="157"/>
      <c r="F191" s="113"/>
      <c r="G191" s="113"/>
      <c r="H191" s="113"/>
      <c r="I191" s="158"/>
      <c r="J191" s="113"/>
      <c r="K191" s="113"/>
      <c r="L191" s="113"/>
      <c r="M191" s="113"/>
      <c r="N191" s="113"/>
      <c r="O191" s="113"/>
      <c r="P191" s="113"/>
    </row>
    <row r="192" spans="1:16" x14ac:dyDescent="0.45">
      <c r="A192" s="155"/>
      <c r="B192" s="173"/>
      <c r="C192" s="155"/>
      <c r="D192" s="155"/>
      <c r="E192" s="157"/>
      <c r="F192" s="113"/>
      <c r="G192" s="113"/>
      <c r="H192" s="113"/>
      <c r="I192" s="158"/>
      <c r="J192" s="113"/>
      <c r="K192" s="113"/>
      <c r="L192" s="113"/>
      <c r="M192" s="113"/>
      <c r="N192" s="113"/>
      <c r="O192" s="113"/>
      <c r="P192" s="113"/>
    </row>
    <row r="193" spans="1:16" x14ac:dyDescent="0.45">
      <c r="A193" s="155"/>
      <c r="B193" s="173"/>
      <c r="C193" s="155"/>
      <c r="D193" s="155"/>
      <c r="E193" s="157"/>
      <c r="F193" s="113"/>
      <c r="G193" s="113"/>
      <c r="H193" s="113"/>
      <c r="I193" s="158"/>
      <c r="J193" s="113"/>
      <c r="K193" s="113"/>
      <c r="L193" s="113"/>
      <c r="M193" s="113"/>
      <c r="N193" s="113"/>
      <c r="O193" s="113"/>
      <c r="P193" s="113"/>
    </row>
    <row r="194" spans="1:16" x14ac:dyDescent="0.45">
      <c r="A194" s="155"/>
      <c r="B194" s="173"/>
      <c r="C194" s="155"/>
      <c r="D194" s="155"/>
      <c r="E194" s="157"/>
      <c r="F194" s="113"/>
      <c r="G194" s="113"/>
      <c r="H194" s="113"/>
      <c r="I194" s="158"/>
      <c r="J194" s="113"/>
      <c r="K194" s="113"/>
      <c r="L194" s="113"/>
      <c r="M194" s="113"/>
      <c r="N194" s="113"/>
      <c r="O194" s="113"/>
      <c r="P194" s="113"/>
    </row>
    <row r="195" spans="1:16" x14ac:dyDescent="0.45">
      <c r="A195" s="155"/>
      <c r="B195" s="173"/>
      <c r="C195" s="155"/>
      <c r="D195" s="155"/>
      <c r="E195" s="157"/>
      <c r="F195" s="113"/>
      <c r="G195" s="113"/>
      <c r="H195" s="113"/>
      <c r="I195" s="158"/>
      <c r="J195" s="113"/>
      <c r="K195" s="113"/>
      <c r="L195" s="113"/>
      <c r="M195" s="113"/>
      <c r="N195" s="113"/>
      <c r="O195" s="113"/>
      <c r="P195" s="113"/>
    </row>
    <row r="196" spans="1:16" x14ac:dyDescent="0.45">
      <c r="A196" s="155"/>
      <c r="B196" s="173"/>
      <c r="C196" s="155"/>
      <c r="D196" s="155"/>
      <c r="E196" s="157"/>
      <c r="F196" s="113"/>
      <c r="G196" s="113"/>
      <c r="H196" s="113"/>
      <c r="I196" s="158"/>
      <c r="J196" s="113"/>
      <c r="K196" s="113"/>
      <c r="L196" s="113"/>
      <c r="M196" s="113"/>
      <c r="N196" s="113"/>
      <c r="O196" s="113"/>
      <c r="P196" s="113"/>
    </row>
    <row r="197" spans="1:16" x14ac:dyDescent="0.45">
      <c r="A197" s="155"/>
      <c r="B197" s="173"/>
      <c r="C197" s="155"/>
      <c r="D197" s="155"/>
      <c r="E197" s="157"/>
      <c r="F197" s="113"/>
      <c r="G197" s="113"/>
      <c r="H197" s="113"/>
      <c r="I197" s="158"/>
      <c r="J197" s="113"/>
      <c r="K197" s="113"/>
      <c r="L197" s="113"/>
      <c r="M197" s="113"/>
      <c r="N197" s="113"/>
      <c r="O197" s="113"/>
      <c r="P197" s="113"/>
    </row>
    <row r="198" spans="1:16" x14ac:dyDescent="0.45">
      <c r="A198" s="155"/>
      <c r="B198" s="173"/>
      <c r="C198" s="155"/>
      <c r="D198" s="155"/>
      <c r="E198" s="157"/>
      <c r="F198" s="113"/>
      <c r="G198" s="113"/>
      <c r="H198" s="113"/>
      <c r="I198" s="158"/>
      <c r="J198" s="113"/>
      <c r="K198" s="113"/>
      <c r="L198" s="113"/>
      <c r="M198" s="113"/>
      <c r="N198" s="113"/>
      <c r="O198" s="113"/>
      <c r="P198" s="113"/>
    </row>
    <row r="199" spans="1:16" x14ac:dyDescent="0.45">
      <c r="A199" s="155"/>
      <c r="B199" s="173"/>
      <c r="C199" s="155"/>
      <c r="D199" s="155"/>
      <c r="E199" s="157"/>
      <c r="F199" s="113"/>
      <c r="G199" s="113"/>
      <c r="H199" s="113"/>
      <c r="I199" s="158"/>
      <c r="J199" s="113"/>
      <c r="K199" s="113"/>
      <c r="L199" s="113"/>
      <c r="M199" s="113"/>
      <c r="N199" s="113"/>
      <c r="O199" s="113"/>
      <c r="P199" s="113"/>
    </row>
    <row r="200" spans="1:16" x14ac:dyDescent="0.45">
      <c r="A200" s="155"/>
      <c r="B200" s="173"/>
      <c r="C200" s="155"/>
      <c r="D200" s="155"/>
      <c r="E200" s="157"/>
      <c r="F200" s="113"/>
      <c r="G200" s="113"/>
      <c r="H200" s="113"/>
      <c r="I200" s="158"/>
      <c r="J200" s="113"/>
      <c r="K200" s="113"/>
      <c r="L200" s="113"/>
      <c r="M200" s="113"/>
      <c r="N200" s="113"/>
      <c r="O200" s="113"/>
      <c r="P200" s="113"/>
    </row>
    <row r="201" spans="1:16" x14ac:dyDescent="0.45">
      <c r="A201" s="155"/>
      <c r="B201" s="173"/>
      <c r="C201" s="155"/>
      <c r="D201" s="155"/>
      <c r="E201" s="157"/>
      <c r="F201" s="113"/>
      <c r="G201" s="113"/>
      <c r="H201" s="113"/>
      <c r="I201" s="158"/>
      <c r="J201" s="113"/>
      <c r="K201" s="113"/>
      <c r="L201" s="113"/>
      <c r="M201" s="113"/>
      <c r="N201" s="113"/>
      <c r="O201" s="113"/>
      <c r="P201" s="113"/>
    </row>
    <row r="202" spans="1:16" x14ac:dyDescent="0.45">
      <c r="A202" s="155"/>
      <c r="B202" s="173"/>
      <c r="C202" s="155"/>
      <c r="D202" s="155"/>
      <c r="E202" s="157"/>
      <c r="F202" s="113"/>
      <c r="G202" s="113"/>
      <c r="H202" s="113"/>
      <c r="I202" s="158"/>
      <c r="J202" s="113"/>
      <c r="K202" s="113"/>
      <c r="L202" s="113"/>
      <c r="M202" s="113"/>
      <c r="N202" s="113"/>
      <c r="O202" s="113"/>
      <c r="P202" s="113"/>
    </row>
    <row r="203" spans="1:16" x14ac:dyDescent="0.45">
      <c r="A203" s="155"/>
      <c r="B203" s="173"/>
      <c r="C203" s="155"/>
      <c r="D203" s="155"/>
      <c r="E203" s="157"/>
      <c r="F203" s="113"/>
      <c r="G203" s="113"/>
      <c r="H203" s="113"/>
      <c r="I203" s="158"/>
      <c r="J203" s="113"/>
      <c r="K203" s="113"/>
      <c r="L203" s="113"/>
      <c r="M203" s="113"/>
      <c r="N203" s="113"/>
      <c r="O203" s="113"/>
      <c r="P203" s="113"/>
    </row>
    <row r="204" spans="1:16" x14ac:dyDescent="0.45">
      <c r="A204" s="155"/>
      <c r="B204" s="173"/>
      <c r="C204" s="155"/>
      <c r="D204" s="155"/>
      <c r="E204" s="157"/>
      <c r="F204" s="113"/>
      <c r="G204" s="113"/>
      <c r="H204" s="113"/>
      <c r="I204" s="158"/>
      <c r="J204" s="113"/>
      <c r="K204" s="113"/>
      <c r="L204" s="113"/>
      <c r="M204" s="113"/>
      <c r="N204" s="113"/>
      <c r="O204" s="113"/>
      <c r="P204" s="113"/>
    </row>
    <row r="205" spans="1:16" x14ac:dyDescent="0.45">
      <c r="A205" s="155"/>
      <c r="B205" s="173"/>
      <c r="C205" s="155"/>
      <c r="D205" s="155"/>
      <c r="E205" s="157"/>
      <c r="F205" s="113"/>
      <c r="G205" s="113"/>
      <c r="H205" s="113"/>
      <c r="I205" s="158"/>
      <c r="J205" s="113"/>
      <c r="K205" s="113"/>
      <c r="L205" s="113"/>
      <c r="M205" s="113"/>
      <c r="N205" s="113"/>
      <c r="O205" s="113"/>
      <c r="P205" s="113"/>
    </row>
    <row r="206" spans="1:16" x14ac:dyDescent="0.45">
      <c r="A206" s="155"/>
      <c r="B206" s="173"/>
      <c r="C206" s="155"/>
      <c r="D206" s="155"/>
      <c r="E206" s="157"/>
      <c r="F206" s="113"/>
      <c r="G206" s="113"/>
      <c r="H206" s="113"/>
      <c r="I206" s="158"/>
      <c r="J206" s="113"/>
      <c r="K206" s="113"/>
      <c r="L206" s="113"/>
      <c r="M206" s="113"/>
      <c r="N206" s="113"/>
      <c r="O206" s="113"/>
      <c r="P206" s="113"/>
    </row>
    <row r="207" spans="1:16" x14ac:dyDescent="0.45">
      <c r="A207" s="155"/>
      <c r="B207" s="173"/>
      <c r="C207" s="155"/>
      <c r="D207" s="155"/>
      <c r="E207" s="157"/>
      <c r="F207" s="113"/>
      <c r="G207" s="113"/>
      <c r="H207" s="113"/>
      <c r="I207" s="158"/>
      <c r="J207" s="113"/>
      <c r="K207" s="113"/>
      <c r="L207" s="113"/>
      <c r="M207" s="113"/>
      <c r="N207" s="113"/>
      <c r="O207" s="113"/>
      <c r="P207" s="113"/>
    </row>
    <row r="208" spans="1:16" x14ac:dyDescent="0.45">
      <c r="A208" s="155"/>
      <c r="B208" s="173"/>
      <c r="C208" s="155"/>
      <c r="D208" s="155"/>
      <c r="E208" s="157"/>
      <c r="F208" s="113"/>
      <c r="G208" s="113"/>
      <c r="H208" s="113"/>
      <c r="I208" s="158"/>
      <c r="J208" s="113"/>
      <c r="K208" s="113"/>
      <c r="L208" s="113"/>
      <c r="M208" s="113"/>
      <c r="N208" s="113"/>
      <c r="O208" s="113"/>
      <c r="P208" s="113"/>
    </row>
    <row r="209" spans="1:16" x14ac:dyDescent="0.45">
      <c r="A209" s="155"/>
      <c r="B209" s="173"/>
      <c r="C209" s="155"/>
      <c r="D209" s="155"/>
      <c r="E209" s="157"/>
      <c r="F209" s="113"/>
      <c r="G209" s="113"/>
      <c r="H209" s="113"/>
      <c r="I209" s="158"/>
      <c r="J209" s="113"/>
      <c r="K209" s="113"/>
      <c r="L209" s="113"/>
      <c r="M209" s="113"/>
      <c r="N209" s="113"/>
      <c r="O209" s="113"/>
      <c r="P209" s="113"/>
    </row>
    <row r="210" spans="1:16" x14ac:dyDescent="0.45">
      <c r="A210" s="155"/>
      <c r="B210" s="173"/>
      <c r="C210" s="155"/>
      <c r="D210" s="155"/>
      <c r="E210" s="157"/>
      <c r="F210" s="113"/>
      <c r="G210" s="113"/>
      <c r="H210" s="113"/>
      <c r="I210" s="158"/>
      <c r="J210" s="113"/>
      <c r="K210" s="113"/>
      <c r="L210" s="113"/>
      <c r="M210" s="113"/>
      <c r="N210" s="113"/>
      <c r="O210" s="113"/>
      <c r="P210" s="113"/>
    </row>
    <row r="211" spans="1:16" x14ac:dyDescent="0.45">
      <c r="A211" s="155"/>
      <c r="B211" s="173"/>
      <c r="C211" s="155"/>
      <c r="D211" s="155"/>
      <c r="E211" s="157"/>
      <c r="F211" s="113"/>
      <c r="G211" s="113"/>
      <c r="H211" s="113"/>
      <c r="I211" s="158"/>
      <c r="J211" s="113"/>
      <c r="K211" s="113"/>
      <c r="L211" s="113"/>
      <c r="M211" s="113"/>
      <c r="N211" s="113"/>
      <c r="O211" s="113"/>
      <c r="P211" s="113"/>
    </row>
    <row r="212" spans="1:16" x14ac:dyDescent="0.45">
      <c r="A212" s="155"/>
      <c r="B212" s="173"/>
      <c r="C212" s="155"/>
      <c r="D212" s="155"/>
      <c r="E212" s="157"/>
      <c r="F212" s="113"/>
      <c r="G212" s="113"/>
      <c r="H212" s="113"/>
      <c r="I212" s="158"/>
      <c r="J212" s="113"/>
      <c r="K212" s="113"/>
      <c r="L212" s="113"/>
      <c r="M212" s="113"/>
      <c r="N212" s="113"/>
      <c r="O212" s="113"/>
      <c r="P212" s="113"/>
    </row>
    <row r="213" spans="1:16" x14ac:dyDescent="0.45">
      <c r="A213" s="155"/>
      <c r="B213" s="173"/>
      <c r="C213" s="155"/>
      <c r="D213" s="155"/>
      <c r="E213" s="157"/>
      <c r="F213" s="113"/>
      <c r="G213" s="113"/>
      <c r="H213" s="113"/>
      <c r="I213" s="158"/>
      <c r="J213" s="113"/>
      <c r="K213" s="113"/>
      <c r="L213" s="113"/>
      <c r="M213" s="113"/>
      <c r="N213" s="113"/>
      <c r="O213" s="113"/>
      <c r="P213" s="113"/>
    </row>
    <row r="214" spans="1:16" x14ac:dyDescent="0.45">
      <c r="A214" s="155"/>
      <c r="B214" s="173"/>
      <c r="C214" s="155"/>
      <c r="D214" s="155"/>
      <c r="E214" s="157"/>
      <c r="F214" s="113"/>
      <c r="G214" s="113"/>
      <c r="H214" s="113"/>
      <c r="I214" s="158"/>
      <c r="J214" s="113"/>
      <c r="K214" s="113"/>
      <c r="L214" s="113"/>
      <c r="M214" s="113"/>
      <c r="N214" s="113"/>
      <c r="O214" s="113"/>
      <c r="P214" s="113"/>
    </row>
    <row r="215" spans="1:16" x14ac:dyDescent="0.45">
      <c r="A215" s="155"/>
      <c r="B215" s="173"/>
      <c r="C215" s="155"/>
      <c r="D215" s="155"/>
      <c r="E215" s="157"/>
      <c r="F215" s="113"/>
      <c r="G215" s="113"/>
      <c r="H215" s="113"/>
      <c r="I215" s="158"/>
      <c r="J215" s="113"/>
      <c r="K215" s="113"/>
      <c r="L215" s="113"/>
      <c r="M215" s="113"/>
      <c r="N215" s="113"/>
      <c r="O215" s="113"/>
      <c r="P215" s="113"/>
    </row>
    <row r="216" spans="1:16" x14ac:dyDescent="0.45">
      <c r="A216" s="155"/>
      <c r="B216" s="173"/>
      <c r="C216" s="155"/>
      <c r="D216" s="155"/>
      <c r="E216" s="157"/>
      <c r="F216" s="113"/>
      <c r="G216" s="113"/>
      <c r="H216" s="113"/>
      <c r="I216" s="158"/>
      <c r="J216" s="113"/>
      <c r="K216" s="113"/>
      <c r="L216" s="113"/>
      <c r="M216" s="113"/>
      <c r="N216" s="113"/>
      <c r="O216" s="113"/>
      <c r="P216" s="113"/>
    </row>
    <row r="217" spans="1:16" x14ac:dyDescent="0.45">
      <c r="A217" s="155"/>
      <c r="B217" s="173"/>
      <c r="C217" s="155"/>
      <c r="D217" s="155"/>
      <c r="E217" s="157"/>
      <c r="F217" s="113"/>
      <c r="G217" s="113"/>
      <c r="H217" s="113"/>
      <c r="I217" s="158"/>
      <c r="J217" s="113"/>
      <c r="K217" s="113"/>
      <c r="L217" s="113"/>
      <c r="M217" s="113"/>
      <c r="N217" s="113"/>
      <c r="O217" s="113"/>
      <c r="P217" s="113"/>
    </row>
    <row r="218" spans="1:16" x14ac:dyDescent="0.45">
      <c r="A218" s="155"/>
      <c r="B218" s="173"/>
      <c r="C218" s="155"/>
      <c r="D218" s="155"/>
      <c r="E218" s="157"/>
      <c r="F218" s="113"/>
      <c r="G218" s="113"/>
      <c r="H218" s="113"/>
      <c r="I218" s="158"/>
      <c r="J218" s="113"/>
      <c r="K218" s="113"/>
      <c r="L218" s="113"/>
      <c r="M218" s="113"/>
      <c r="N218" s="113"/>
      <c r="O218" s="113"/>
      <c r="P218" s="113"/>
    </row>
    <row r="219" spans="1:16" x14ac:dyDescent="0.45">
      <c r="A219" s="155"/>
      <c r="B219" s="173"/>
      <c r="C219" s="155"/>
      <c r="D219" s="155"/>
      <c r="E219" s="157"/>
      <c r="F219" s="113"/>
      <c r="G219" s="113"/>
      <c r="H219" s="113"/>
      <c r="I219" s="158"/>
      <c r="J219" s="113"/>
      <c r="K219" s="113"/>
      <c r="L219" s="113"/>
      <c r="M219" s="113"/>
      <c r="N219" s="113"/>
      <c r="O219" s="113"/>
      <c r="P219" s="113"/>
    </row>
    <row r="220" spans="1:16" x14ac:dyDescent="0.45">
      <c r="A220" s="155"/>
      <c r="B220" s="173"/>
      <c r="C220" s="155"/>
      <c r="D220" s="155"/>
      <c r="E220" s="157"/>
      <c r="F220" s="113"/>
      <c r="G220" s="113"/>
      <c r="H220" s="113"/>
      <c r="I220" s="158"/>
      <c r="J220" s="113"/>
      <c r="K220" s="113"/>
      <c r="L220" s="113"/>
      <c r="M220" s="113"/>
      <c r="N220" s="113"/>
      <c r="O220" s="113"/>
      <c r="P220" s="113"/>
    </row>
    <row r="221" spans="1:16" x14ac:dyDescent="0.45">
      <c r="A221" s="155"/>
      <c r="B221" s="173"/>
      <c r="C221" s="155"/>
      <c r="D221" s="155"/>
      <c r="E221" s="157"/>
      <c r="F221" s="113"/>
      <c r="G221" s="113"/>
      <c r="H221" s="113"/>
      <c r="I221" s="158"/>
      <c r="J221" s="113"/>
      <c r="K221" s="113"/>
      <c r="L221" s="113"/>
      <c r="M221" s="113"/>
      <c r="N221" s="113"/>
      <c r="O221" s="113"/>
      <c r="P221" s="113"/>
    </row>
    <row r="222" spans="1:16" x14ac:dyDescent="0.45">
      <c r="A222" s="155"/>
      <c r="B222" s="173"/>
      <c r="C222" s="155"/>
      <c r="D222" s="155"/>
      <c r="E222" s="157"/>
      <c r="F222" s="113"/>
      <c r="G222" s="113"/>
      <c r="H222" s="113"/>
      <c r="I222" s="158"/>
      <c r="J222" s="113"/>
      <c r="K222" s="113"/>
      <c r="L222" s="113"/>
      <c r="M222" s="113"/>
      <c r="N222" s="113"/>
      <c r="O222" s="113"/>
      <c r="P222" s="113"/>
    </row>
    <row r="223" spans="1:16" x14ac:dyDescent="0.45">
      <c r="A223" s="155"/>
      <c r="B223" s="173"/>
      <c r="C223" s="155"/>
      <c r="D223" s="155"/>
      <c r="E223" s="157"/>
      <c r="F223" s="113"/>
      <c r="G223" s="113"/>
      <c r="H223" s="113"/>
      <c r="I223" s="158"/>
      <c r="J223" s="113"/>
      <c r="K223" s="113"/>
      <c r="L223" s="113"/>
      <c r="M223" s="113"/>
      <c r="N223" s="113"/>
      <c r="O223" s="113"/>
      <c r="P223" s="113"/>
    </row>
    <row r="224" spans="1:16" x14ac:dyDescent="0.45">
      <c r="A224" s="155"/>
      <c r="B224" s="173"/>
      <c r="C224" s="155"/>
      <c r="D224" s="155"/>
      <c r="E224" s="157"/>
      <c r="F224" s="113"/>
      <c r="G224" s="113"/>
      <c r="H224" s="113"/>
      <c r="I224" s="158"/>
      <c r="J224" s="113"/>
      <c r="K224" s="113"/>
      <c r="L224" s="113"/>
      <c r="M224" s="113"/>
      <c r="N224" s="113"/>
      <c r="O224" s="113"/>
      <c r="P224" s="113"/>
    </row>
    <row r="225" spans="1:16" x14ac:dyDescent="0.45">
      <c r="A225" s="155"/>
      <c r="B225" s="173"/>
      <c r="C225" s="155"/>
      <c r="D225" s="155"/>
      <c r="E225" s="157"/>
      <c r="F225" s="113"/>
      <c r="G225" s="113"/>
      <c r="H225" s="113"/>
      <c r="I225" s="158"/>
      <c r="J225" s="113"/>
      <c r="K225" s="113"/>
      <c r="L225" s="113"/>
      <c r="M225" s="113"/>
      <c r="N225" s="113"/>
      <c r="O225" s="113"/>
      <c r="P225" s="113"/>
    </row>
    <row r="226" spans="1:16" x14ac:dyDescent="0.45">
      <c r="A226" s="155"/>
      <c r="B226" s="173"/>
      <c r="C226" s="155"/>
      <c r="D226" s="155"/>
      <c r="E226" s="157"/>
      <c r="F226" s="113"/>
      <c r="G226" s="113"/>
      <c r="H226" s="113"/>
      <c r="I226" s="158"/>
      <c r="J226" s="113"/>
      <c r="K226" s="113"/>
      <c r="L226" s="113"/>
      <c r="M226" s="113"/>
      <c r="N226" s="113"/>
      <c r="O226" s="113"/>
      <c r="P226" s="113"/>
    </row>
    <row r="227" spans="1:16" x14ac:dyDescent="0.45">
      <c r="A227" s="155"/>
      <c r="B227" s="173"/>
      <c r="C227" s="155"/>
      <c r="D227" s="155"/>
      <c r="E227" s="157"/>
      <c r="F227" s="113"/>
      <c r="G227" s="113"/>
      <c r="H227" s="113"/>
      <c r="I227" s="158"/>
      <c r="J227" s="113"/>
      <c r="K227" s="113"/>
      <c r="L227" s="113"/>
      <c r="M227" s="113"/>
      <c r="N227" s="113"/>
      <c r="O227" s="113"/>
      <c r="P227" s="113"/>
    </row>
    <row r="228" spans="1:16" x14ac:dyDescent="0.45">
      <c r="A228" s="155"/>
      <c r="B228" s="173"/>
      <c r="C228" s="155"/>
      <c r="D228" s="155"/>
      <c r="E228" s="157"/>
      <c r="F228" s="113"/>
      <c r="G228" s="113"/>
      <c r="H228" s="113"/>
      <c r="I228" s="158"/>
      <c r="J228" s="113"/>
      <c r="K228" s="113"/>
      <c r="L228" s="113"/>
      <c r="M228" s="113"/>
      <c r="N228" s="113"/>
      <c r="O228" s="113"/>
      <c r="P228" s="113"/>
    </row>
    <row r="229" spans="1:16" x14ac:dyDescent="0.45">
      <c r="A229" s="155"/>
      <c r="B229" s="173"/>
      <c r="C229" s="155"/>
      <c r="D229" s="155"/>
      <c r="E229" s="157"/>
      <c r="F229" s="113"/>
      <c r="G229" s="113"/>
      <c r="H229" s="113"/>
      <c r="I229" s="158"/>
      <c r="J229" s="113"/>
      <c r="K229" s="113"/>
      <c r="L229" s="113"/>
      <c r="M229" s="113"/>
      <c r="N229" s="113"/>
      <c r="O229" s="113"/>
      <c r="P229" s="113"/>
    </row>
    <row r="230" spans="1:16" x14ac:dyDescent="0.45">
      <c r="A230" s="155"/>
      <c r="B230" s="173"/>
      <c r="C230" s="155"/>
      <c r="D230" s="155"/>
      <c r="E230" s="157"/>
      <c r="F230" s="113"/>
      <c r="G230" s="113"/>
      <c r="H230" s="113"/>
      <c r="I230" s="158"/>
      <c r="J230" s="113"/>
      <c r="K230" s="113"/>
      <c r="L230" s="113"/>
      <c r="M230" s="113"/>
      <c r="N230" s="113"/>
      <c r="O230" s="113"/>
      <c r="P230" s="113"/>
    </row>
    <row r="231" spans="1:16" x14ac:dyDescent="0.45">
      <c r="A231" s="155"/>
      <c r="B231" s="173"/>
      <c r="C231" s="155"/>
      <c r="D231" s="155"/>
      <c r="E231" s="157"/>
      <c r="F231" s="113"/>
      <c r="G231" s="113"/>
      <c r="H231" s="113"/>
      <c r="I231" s="158"/>
      <c r="J231" s="113"/>
      <c r="K231" s="113"/>
      <c r="L231" s="113"/>
      <c r="M231" s="113"/>
      <c r="N231" s="113"/>
      <c r="O231" s="113"/>
      <c r="P231" s="113"/>
    </row>
    <row r="232" spans="1:16" x14ac:dyDescent="0.45">
      <c r="A232" s="155"/>
      <c r="B232" s="173"/>
      <c r="C232" s="155"/>
      <c r="D232" s="155"/>
      <c r="E232" s="157"/>
      <c r="F232" s="113"/>
      <c r="G232" s="113"/>
      <c r="H232" s="113"/>
      <c r="I232" s="158"/>
      <c r="J232" s="113"/>
      <c r="K232" s="113"/>
      <c r="L232" s="113"/>
      <c r="M232" s="113"/>
      <c r="N232" s="113"/>
      <c r="O232" s="113"/>
      <c r="P232" s="113"/>
    </row>
    <row r="233" spans="1:16" x14ac:dyDescent="0.45">
      <c r="A233" s="155"/>
      <c r="B233" s="173"/>
      <c r="C233" s="155"/>
      <c r="D233" s="155"/>
      <c r="E233" s="157"/>
      <c r="F233" s="113"/>
      <c r="G233" s="113"/>
      <c r="H233" s="113"/>
      <c r="I233" s="158"/>
      <c r="J233" s="113"/>
      <c r="K233" s="113"/>
      <c r="L233" s="113"/>
      <c r="M233" s="113"/>
      <c r="N233" s="113"/>
      <c r="O233" s="113"/>
      <c r="P233" s="113"/>
    </row>
    <row r="234" spans="1:16" x14ac:dyDescent="0.45">
      <c r="A234" s="155"/>
      <c r="B234" s="173"/>
      <c r="C234" s="155"/>
      <c r="D234" s="155"/>
      <c r="E234" s="157"/>
      <c r="F234" s="113"/>
      <c r="G234" s="113"/>
      <c r="H234" s="113"/>
      <c r="I234" s="158"/>
      <c r="J234" s="113"/>
      <c r="K234" s="113"/>
      <c r="L234" s="113"/>
      <c r="M234" s="113"/>
      <c r="N234" s="113"/>
      <c r="O234" s="113"/>
      <c r="P234" s="113"/>
    </row>
    <row r="235" spans="1:16" x14ac:dyDescent="0.45">
      <c r="A235" s="155"/>
      <c r="B235" s="173"/>
      <c r="C235" s="155"/>
      <c r="D235" s="155"/>
      <c r="E235" s="157"/>
      <c r="F235" s="113"/>
      <c r="G235" s="113"/>
      <c r="H235" s="113"/>
      <c r="I235" s="158"/>
      <c r="J235" s="113"/>
      <c r="K235" s="113"/>
      <c r="L235" s="113"/>
      <c r="M235" s="113"/>
      <c r="N235" s="113"/>
      <c r="O235" s="113"/>
      <c r="P235" s="113"/>
    </row>
    <row r="236" spans="1:16" x14ac:dyDescent="0.45">
      <c r="A236" s="155"/>
      <c r="B236" s="173"/>
      <c r="C236" s="155"/>
      <c r="D236" s="155"/>
      <c r="E236" s="157"/>
      <c r="F236" s="113"/>
      <c r="G236" s="113"/>
      <c r="H236" s="113"/>
      <c r="I236" s="158"/>
      <c r="J236" s="113"/>
      <c r="K236" s="113"/>
      <c r="L236" s="113"/>
      <c r="M236" s="113"/>
      <c r="N236" s="113"/>
      <c r="O236" s="113"/>
      <c r="P236" s="113"/>
    </row>
    <row r="237" spans="1:16" x14ac:dyDescent="0.45">
      <c r="A237" s="155"/>
      <c r="B237" s="173"/>
      <c r="C237" s="155"/>
      <c r="D237" s="155"/>
      <c r="E237" s="157"/>
      <c r="F237" s="113"/>
      <c r="G237" s="113"/>
      <c r="H237" s="113"/>
      <c r="I237" s="158"/>
      <c r="J237" s="113"/>
      <c r="K237" s="113"/>
      <c r="L237" s="113"/>
      <c r="M237" s="113"/>
      <c r="N237" s="113"/>
      <c r="O237" s="113"/>
      <c r="P237" s="113"/>
    </row>
    <row r="238" spans="1:16" x14ac:dyDescent="0.45">
      <c r="A238" s="155"/>
      <c r="B238" s="173"/>
      <c r="C238" s="155"/>
      <c r="D238" s="155"/>
      <c r="E238" s="157"/>
      <c r="F238" s="113"/>
      <c r="G238" s="113"/>
      <c r="H238" s="113"/>
      <c r="I238" s="158"/>
      <c r="J238" s="113"/>
      <c r="K238" s="113"/>
      <c r="L238" s="113"/>
      <c r="M238" s="113"/>
      <c r="N238" s="113"/>
      <c r="O238" s="113"/>
      <c r="P238" s="113"/>
    </row>
    <row r="239" spans="1:16" x14ac:dyDescent="0.45">
      <c r="A239" s="155"/>
      <c r="B239" s="173"/>
      <c r="C239" s="155"/>
      <c r="D239" s="155"/>
      <c r="E239" s="157"/>
      <c r="F239" s="113"/>
      <c r="G239" s="113"/>
      <c r="H239" s="113"/>
      <c r="I239" s="158"/>
      <c r="J239" s="113"/>
      <c r="K239" s="113"/>
      <c r="L239" s="113"/>
      <c r="M239" s="113"/>
      <c r="N239" s="113"/>
      <c r="O239" s="113"/>
      <c r="P239" s="113"/>
    </row>
    <row r="240" spans="1:16" x14ac:dyDescent="0.45">
      <c r="A240" s="155"/>
      <c r="B240" s="173"/>
      <c r="C240" s="155"/>
      <c r="D240" s="155"/>
      <c r="E240" s="157"/>
      <c r="F240" s="113"/>
      <c r="G240" s="113"/>
      <c r="H240" s="113"/>
      <c r="I240" s="158"/>
      <c r="J240" s="113"/>
      <c r="K240" s="113"/>
      <c r="L240" s="113"/>
      <c r="M240" s="113"/>
      <c r="N240" s="113"/>
      <c r="O240" s="113"/>
      <c r="P240" s="113"/>
    </row>
    <row r="241" spans="1:16" x14ac:dyDescent="0.45">
      <c r="A241" s="155"/>
      <c r="B241" s="173"/>
      <c r="C241" s="155"/>
      <c r="D241" s="155"/>
      <c r="E241" s="157"/>
      <c r="F241" s="113"/>
      <c r="G241" s="113"/>
      <c r="H241" s="113"/>
      <c r="I241" s="158"/>
      <c r="J241" s="113"/>
      <c r="K241" s="113"/>
      <c r="L241" s="113"/>
      <c r="M241" s="113"/>
      <c r="N241" s="113"/>
      <c r="O241" s="113"/>
      <c r="P241" s="113"/>
    </row>
    <row r="242" spans="1:16" x14ac:dyDescent="0.45">
      <c r="A242" s="155"/>
      <c r="B242" s="173"/>
      <c r="C242" s="155"/>
      <c r="D242" s="155"/>
      <c r="E242" s="157"/>
      <c r="F242" s="113"/>
      <c r="G242" s="113"/>
      <c r="H242" s="113"/>
      <c r="I242" s="158"/>
      <c r="J242" s="113"/>
      <c r="K242" s="113"/>
      <c r="L242" s="113"/>
      <c r="M242" s="113"/>
      <c r="N242" s="113"/>
      <c r="O242" s="113"/>
      <c r="P242" s="113"/>
    </row>
    <row r="243" spans="1:16" x14ac:dyDescent="0.45">
      <c r="A243" s="155"/>
      <c r="B243" s="173"/>
      <c r="C243" s="155"/>
      <c r="D243" s="155"/>
      <c r="E243" s="157"/>
      <c r="F243" s="113"/>
      <c r="G243" s="113"/>
      <c r="H243" s="113"/>
      <c r="I243" s="158"/>
      <c r="J243" s="113"/>
      <c r="K243" s="113"/>
      <c r="L243" s="113"/>
      <c r="M243" s="113"/>
      <c r="N243" s="113"/>
      <c r="O243" s="113"/>
      <c r="P243" s="113"/>
    </row>
    <row r="244" spans="1:16" x14ac:dyDescent="0.45">
      <c r="A244" s="155"/>
      <c r="B244" s="173"/>
      <c r="C244" s="155"/>
      <c r="D244" s="155"/>
      <c r="E244" s="157"/>
      <c r="F244" s="113"/>
      <c r="G244" s="113"/>
      <c r="H244" s="113"/>
      <c r="I244" s="158"/>
      <c r="J244" s="113"/>
      <c r="K244" s="113"/>
      <c r="L244" s="113"/>
      <c r="M244" s="113"/>
      <c r="N244" s="113"/>
      <c r="O244" s="113"/>
      <c r="P244" s="113"/>
    </row>
    <row r="245" spans="1:16" x14ac:dyDescent="0.45">
      <c r="A245" s="155"/>
      <c r="B245" s="173"/>
      <c r="C245" s="155"/>
      <c r="D245" s="155"/>
      <c r="E245" s="157"/>
      <c r="F245" s="113"/>
      <c r="G245" s="113"/>
      <c r="H245" s="113"/>
      <c r="I245" s="158"/>
      <c r="J245" s="113"/>
      <c r="K245" s="113"/>
      <c r="L245" s="113"/>
      <c r="M245" s="113"/>
      <c r="N245" s="113"/>
      <c r="O245" s="113"/>
      <c r="P245" s="113"/>
    </row>
    <row r="246" spans="1:16" x14ac:dyDescent="0.45">
      <c r="A246" s="155"/>
      <c r="B246" s="173"/>
      <c r="C246" s="155"/>
      <c r="D246" s="155"/>
      <c r="E246" s="157"/>
      <c r="F246" s="113"/>
      <c r="G246" s="113"/>
      <c r="H246" s="113"/>
      <c r="I246" s="158"/>
      <c r="J246" s="113"/>
      <c r="K246" s="113"/>
      <c r="L246" s="113"/>
      <c r="M246" s="113"/>
      <c r="N246" s="113"/>
      <c r="O246" s="113"/>
      <c r="P246" s="113"/>
    </row>
    <row r="247" spans="1:16" x14ac:dyDescent="0.45">
      <c r="A247" s="155"/>
      <c r="B247" s="173"/>
      <c r="C247" s="155"/>
      <c r="D247" s="155"/>
      <c r="E247" s="157"/>
      <c r="F247" s="113"/>
      <c r="G247" s="113"/>
      <c r="H247" s="113"/>
      <c r="I247" s="158"/>
      <c r="J247" s="113"/>
      <c r="K247" s="113"/>
      <c r="L247" s="113"/>
      <c r="M247" s="113"/>
      <c r="N247" s="113"/>
      <c r="O247" s="113"/>
      <c r="P247" s="113"/>
    </row>
    <row r="248" spans="1:16" x14ac:dyDescent="0.45">
      <c r="A248" s="155"/>
      <c r="B248" s="173"/>
      <c r="C248" s="155"/>
      <c r="D248" s="155"/>
      <c r="E248" s="157"/>
      <c r="F248" s="113"/>
      <c r="G248" s="113"/>
      <c r="H248" s="113"/>
      <c r="I248" s="158"/>
      <c r="J248" s="113"/>
      <c r="K248" s="113"/>
      <c r="L248" s="113"/>
      <c r="M248" s="113"/>
      <c r="N248" s="113"/>
      <c r="O248" s="113"/>
      <c r="P248" s="113"/>
    </row>
    <row r="249" spans="1:16" x14ac:dyDescent="0.45">
      <c r="A249" s="155"/>
      <c r="B249" s="173"/>
      <c r="C249" s="155"/>
      <c r="D249" s="155"/>
      <c r="E249" s="157"/>
      <c r="F249" s="113"/>
      <c r="G249" s="113"/>
      <c r="H249" s="113"/>
      <c r="I249" s="158"/>
      <c r="J249" s="113"/>
      <c r="K249" s="113"/>
      <c r="L249" s="113"/>
      <c r="M249" s="113"/>
      <c r="N249" s="113"/>
      <c r="O249" s="113"/>
      <c r="P249" s="113"/>
    </row>
    <row r="250" spans="1:16" x14ac:dyDescent="0.45">
      <c r="A250" s="155"/>
      <c r="B250" s="173"/>
      <c r="C250" s="155"/>
      <c r="D250" s="155"/>
      <c r="E250" s="157"/>
      <c r="F250" s="113"/>
      <c r="G250" s="113"/>
      <c r="H250" s="113"/>
      <c r="I250" s="158"/>
      <c r="J250" s="113"/>
      <c r="K250" s="113"/>
      <c r="L250" s="113"/>
      <c r="M250" s="113"/>
      <c r="N250" s="113"/>
      <c r="O250" s="113"/>
      <c r="P250" s="113"/>
    </row>
    <row r="251" spans="1:16" x14ac:dyDescent="0.45">
      <c r="A251" s="155"/>
      <c r="B251" s="173"/>
      <c r="C251" s="155"/>
      <c r="D251" s="155"/>
      <c r="E251" s="157"/>
      <c r="F251" s="113"/>
      <c r="G251" s="113"/>
      <c r="H251" s="113"/>
      <c r="I251" s="158"/>
      <c r="J251" s="113"/>
      <c r="K251" s="113"/>
      <c r="L251" s="113"/>
      <c r="M251" s="113"/>
      <c r="N251" s="113"/>
      <c r="O251" s="113"/>
      <c r="P251" s="113"/>
    </row>
    <row r="252" spans="1:16" x14ac:dyDescent="0.45">
      <c r="A252" s="155"/>
      <c r="B252" s="173"/>
      <c r="C252" s="155"/>
      <c r="D252" s="155"/>
      <c r="E252" s="157"/>
      <c r="F252" s="113"/>
      <c r="G252" s="113"/>
      <c r="H252" s="113"/>
      <c r="I252" s="158"/>
      <c r="J252" s="113"/>
      <c r="K252" s="113"/>
      <c r="L252" s="113"/>
      <c r="M252" s="113"/>
      <c r="N252" s="113"/>
      <c r="O252" s="113"/>
      <c r="P252" s="113"/>
    </row>
    <row r="253" spans="1:16" x14ac:dyDescent="0.45">
      <c r="A253" s="155"/>
      <c r="B253" s="173"/>
      <c r="C253" s="155"/>
      <c r="D253" s="155"/>
      <c r="E253" s="157"/>
      <c r="F253" s="113"/>
      <c r="G253" s="113"/>
      <c r="H253" s="113"/>
      <c r="I253" s="158"/>
      <c r="J253" s="113"/>
      <c r="K253" s="113"/>
      <c r="L253" s="113"/>
      <c r="M253" s="113"/>
      <c r="N253" s="113"/>
      <c r="O253" s="113"/>
      <c r="P253" s="113"/>
    </row>
    <row r="254" spans="1:16" x14ac:dyDescent="0.45">
      <c r="A254" s="155"/>
      <c r="B254" s="173"/>
      <c r="C254" s="155"/>
      <c r="D254" s="155"/>
      <c r="E254" s="157"/>
      <c r="F254" s="113"/>
      <c r="G254" s="113"/>
      <c r="H254" s="113"/>
      <c r="I254" s="158"/>
      <c r="J254" s="113"/>
      <c r="K254" s="113"/>
      <c r="L254" s="113"/>
      <c r="M254" s="113"/>
      <c r="N254" s="113"/>
      <c r="O254" s="113"/>
      <c r="P254" s="113"/>
    </row>
    <row r="255" spans="1:16" x14ac:dyDescent="0.45">
      <c r="A255" s="155"/>
      <c r="B255" s="173"/>
      <c r="C255" s="155"/>
      <c r="D255" s="155"/>
      <c r="E255" s="157"/>
      <c r="F255" s="113"/>
      <c r="G255" s="113"/>
      <c r="H255" s="113"/>
      <c r="I255" s="158"/>
      <c r="J255" s="113"/>
      <c r="K255" s="113"/>
      <c r="L255" s="113"/>
      <c r="M255" s="113"/>
      <c r="N255" s="113"/>
      <c r="O255" s="113"/>
      <c r="P255" s="113"/>
    </row>
    <row r="259" spans="1:16" ht="21.75" x14ac:dyDescent="0.45">
      <c r="A259" s="555" t="s">
        <v>517</v>
      </c>
      <c r="B259" s="555"/>
      <c r="C259" s="555"/>
      <c r="D259" s="555"/>
      <c r="E259" s="555" t="s">
        <v>518</v>
      </c>
      <c r="F259" s="555"/>
      <c r="G259" s="555"/>
      <c r="H259" s="555" t="s">
        <v>518</v>
      </c>
      <c r="I259" s="555"/>
      <c r="J259" s="555"/>
      <c r="K259" s="555"/>
      <c r="L259" s="556" t="s">
        <v>519</v>
      </c>
      <c r="M259" s="556"/>
      <c r="N259" s="556"/>
      <c r="O259" s="556"/>
      <c r="P259" s="244"/>
    </row>
    <row r="260" spans="1:16" ht="21.75" x14ac:dyDescent="0.45">
      <c r="A260" s="555" t="s">
        <v>785</v>
      </c>
      <c r="B260" s="555"/>
      <c r="C260" s="555"/>
      <c r="D260" s="555"/>
      <c r="E260" s="555" t="s">
        <v>786</v>
      </c>
      <c r="F260" s="555"/>
      <c r="G260" s="555"/>
      <c r="H260" s="555" t="s">
        <v>520</v>
      </c>
      <c r="I260" s="555"/>
      <c r="J260" s="555"/>
      <c r="K260" s="555"/>
      <c r="L260" s="556" t="s">
        <v>521</v>
      </c>
      <c r="M260" s="556"/>
      <c r="N260" s="556"/>
      <c r="O260" s="556"/>
      <c r="P260" s="244"/>
    </row>
    <row r="261" spans="1:16" ht="21.75" x14ac:dyDescent="0.45">
      <c r="A261" s="555" t="s">
        <v>787</v>
      </c>
      <c r="B261" s="555"/>
      <c r="C261" s="555"/>
      <c r="D261" s="555"/>
      <c r="E261" s="555" t="s">
        <v>522</v>
      </c>
      <c r="F261" s="555"/>
      <c r="G261" s="555"/>
      <c r="H261" s="555" t="s">
        <v>523</v>
      </c>
      <c r="I261" s="555"/>
      <c r="J261" s="555"/>
      <c r="K261" s="555"/>
      <c r="L261" s="556" t="s">
        <v>524</v>
      </c>
      <c r="M261" s="556"/>
      <c r="N261" s="556"/>
      <c r="O261" s="556"/>
      <c r="P261" s="244"/>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261:D261"/>
    <mergeCell ref="E261:G261"/>
    <mergeCell ref="H261:K261"/>
    <mergeCell ref="L261:O261"/>
    <mergeCell ref="J6:K6"/>
    <mergeCell ref="A260:D260"/>
    <mergeCell ref="E260:G260"/>
    <mergeCell ref="H260:K260"/>
    <mergeCell ref="L260:O260"/>
    <mergeCell ref="A96:H96"/>
    <mergeCell ref="A259:D259"/>
    <mergeCell ref="E259:G259"/>
    <mergeCell ref="H259:K259"/>
    <mergeCell ref="L259:O25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5"/>
  <sheetViews>
    <sheetView topLeftCell="A61" workbookViewId="0">
      <selection activeCell="A3" sqref="A3:O3"/>
    </sheetView>
  </sheetViews>
  <sheetFormatPr defaultRowHeight="17.25" x14ac:dyDescent="0.3"/>
  <cols>
    <col min="1" max="1" width="4.625" style="155" customWidth="1"/>
    <col min="2" max="2" width="9.125" style="173"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595" t="s">
        <v>250</v>
      </c>
      <c r="B1" s="595"/>
      <c r="C1" s="595"/>
      <c r="D1" s="595"/>
      <c r="E1" s="595"/>
      <c r="F1" s="595"/>
      <c r="G1" s="595"/>
      <c r="H1" s="595"/>
      <c r="I1" s="595"/>
      <c r="J1" s="595"/>
      <c r="K1" s="595"/>
      <c r="L1" s="595"/>
      <c r="M1" s="595"/>
      <c r="N1" s="595"/>
      <c r="O1" s="595"/>
    </row>
    <row r="2" spans="1:16" ht="18.75" x14ac:dyDescent="0.3">
      <c r="A2" s="595" t="s">
        <v>251</v>
      </c>
      <c r="B2" s="595"/>
      <c r="C2" s="595"/>
      <c r="D2" s="595"/>
      <c r="E2" s="595"/>
      <c r="F2" s="595"/>
      <c r="G2" s="595"/>
      <c r="H2" s="595"/>
      <c r="I2" s="595"/>
      <c r="J2" s="595"/>
      <c r="K2" s="595"/>
      <c r="L2" s="595"/>
      <c r="M2" s="595"/>
      <c r="N2" s="595"/>
      <c r="O2" s="595"/>
    </row>
    <row r="3" spans="1:16" ht="18.75" x14ac:dyDescent="0.3">
      <c r="A3" s="595" t="s">
        <v>525</v>
      </c>
      <c r="B3" s="595"/>
      <c r="C3" s="595"/>
      <c r="D3" s="595"/>
      <c r="E3" s="595"/>
      <c r="F3" s="595"/>
      <c r="G3" s="595"/>
      <c r="H3" s="595"/>
      <c r="I3" s="595"/>
      <c r="J3" s="595"/>
      <c r="K3" s="595"/>
      <c r="L3" s="595"/>
      <c r="M3" s="595"/>
      <c r="N3" s="595"/>
      <c r="O3" s="595"/>
    </row>
    <row r="4" spans="1:16" s="117" customFormat="1" ht="8.1" customHeight="1" x14ac:dyDescent="0.3">
      <c r="A4" s="114"/>
      <c r="B4" s="159"/>
      <c r="C4" s="114"/>
      <c r="D4" s="114"/>
      <c r="E4" s="116"/>
      <c r="I4" s="118"/>
    </row>
    <row r="5" spans="1:16" s="121" customFormat="1" ht="38.1" customHeight="1" x14ac:dyDescent="0.3">
      <c r="A5" s="596" t="s">
        <v>253</v>
      </c>
      <c r="B5" s="599" t="s">
        <v>254</v>
      </c>
      <c r="C5" s="600"/>
      <c r="D5" s="600"/>
      <c r="E5" s="600"/>
      <c r="F5" s="600"/>
      <c r="G5" s="600"/>
      <c r="H5" s="600"/>
      <c r="I5" s="601"/>
      <c r="J5" s="602" t="s">
        <v>255</v>
      </c>
      <c r="K5" s="603"/>
      <c r="L5" s="604"/>
      <c r="M5" s="604"/>
      <c r="N5" s="119"/>
      <c r="O5" s="596" t="s">
        <v>256</v>
      </c>
      <c r="P5" s="120"/>
    </row>
    <row r="6" spans="1:16" s="122" customFormat="1" ht="57.95" customHeight="1" x14ac:dyDescent="0.2">
      <c r="A6" s="597"/>
      <c r="B6" s="605" t="s">
        <v>257</v>
      </c>
      <c r="C6" s="606" t="s">
        <v>2</v>
      </c>
      <c r="D6" s="606" t="s">
        <v>258</v>
      </c>
      <c r="E6" s="596" t="s">
        <v>259</v>
      </c>
      <c r="F6" s="606" t="s">
        <v>260</v>
      </c>
      <c r="G6" s="606" t="s">
        <v>261</v>
      </c>
      <c r="H6" s="606" t="s">
        <v>262</v>
      </c>
      <c r="I6" s="608" t="s">
        <v>263</v>
      </c>
      <c r="J6" s="590" t="s">
        <v>264</v>
      </c>
      <c r="K6" s="591"/>
      <c r="L6" s="590" t="s">
        <v>265</v>
      </c>
      <c r="M6" s="591"/>
      <c r="N6" s="607"/>
      <c r="O6" s="597"/>
    </row>
    <row r="7" spans="1:16" s="121" customFormat="1" ht="60" customHeight="1" x14ac:dyDescent="0.3">
      <c r="A7" s="598"/>
      <c r="B7" s="605"/>
      <c r="C7" s="606"/>
      <c r="D7" s="606"/>
      <c r="E7" s="598"/>
      <c r="F7" s="606"/>
      <c r="G7" s="606"/>
      <c r="H7" s="606"/>
      <c r="I7" s="608"/>
      <c r="J7" s="123" t="s">
        <v>266</v>
      </c>
      <c r="K7" s="123" t="s">
        <v>267</v>
      </c>
      <c r="L7" s="123" t="s">
        <v>266</v>
      </c>
      <c r="M7" s="123" t="s">
        <v>267</v>
      </c>
      <c r="N7" s="123" t="s">
        <v>268</v>
      </c>
      <c r="O7" s="598"/>
      <c r="P7" s="120"/>
    </row>
    <row r="8" spans="1:16" ht="20.100000000000001" customHeight="1" x14ac:dyDescent="0.3">
      <c r="A8" s="124" t="s">
        <v>526</v>
      </c>
      <c r="B8" s="160"/>
      <c r="C8" s="126"/>
      <c r="D8" s="126"/>
      <c r="E8" s="127"/>
      <c r="F8" s="128"/>
      <c r="G8" s="128"/>
      <c r="H8" s="128"/>
      <c r="I8" s="129">
        <f>SUM(I9:I11)</f>
        <v>295000</v>
      </c>
      <c r="J8" s="129">
        <f t="shared" ref="J8:O8" si="0">SUM(J9:J11)</f>
        <v>35000</v>
      </c>
      <c r="K8" s="129">
        <f t="shared" si="0"/>
        <v>35000</v>
      </c>
      <c r="L8" s="129">
        <f t="shared" si="0"/>
        <v>0</v>
      </c>
      <c r="M8" s="129">
        <f t="shared" si="0"/>
        <v>0</v>
      </c>
      <c r="N8" s="129">
        <f t="shared" si="0"/>
        <v>0</v>
      </c>
      <c r="O8" s="129">
        <f t="shared" si="0"/>
        <v>225000</v>
      </c>
    </row>
    <row r="9" spans="1:16" s="138" customFormat="1" ht="80.099999999999994" customHeight="1" x14ac:dyDescent="0.2">
      <c r="A9" s="130">
        <v>1</v>
      </c>
      <c r="B9" s="161">
        <v>241712</v>
      </c>
      <c r="C9" s="132" t="s">
        <v>527</v>
      </c>
      <c r="D9" s="133" t="s">
        <v>528</v>
      </c>
      <c r="E9" s="134" t="s">
        <v>529</v>
      </c>
      <c r="F9" s="134" t="s">
        <v>526</v>
      </c>
      <c r="G9" s="134" t="s">
        <v>530</v>
      </c>
      <c r="H9" s="135" t="s">
        <v>531</v>
      </c>
      <c r="I9" s="136">
        <v>20000</v>
      </c>
      <c r="J9" s="137">
        <v>10000</v>
      </c>
      <c r="K9" s="137">
        <v>10000</v>
      </c>
      <c r="L9" s="137">
        <v>0</v>
      </c>
      <c r="M9" s="137">
        <v>0</v>
      </c>
      <c r="N9" s="137">
        <v>0</v>
      </c>
      <c r="O9" s="137">
        <f>+I9-(SUM(J9:N9))</f>
        <v>0</v>
      </c>
    </row>
    <row r="10" spans="1:16" s="138" customFormat="1" ht="90" customHeight="1" x14ac:dyDescent="0.2">
      <c r="A10" s="130">
        <v>2</v>
      </c>
      <c r="B10" s="162" t="s">
        <v>532</v>
      </c>
      <c r="C10" s="142" t="s">
        <v>533</v>
      </c>
      <c r="D10" s="141" t="s">
        <v>534</v>
      </c>
      <c r="E10" s="143" t="s">
        <v>529</v>
      </c>
      <c r="F10" s="143" t="s">
        <v>526</v>
      </c>
      <c r="G10" s="143" t="s">
        <v>535</v>
      </c>
      <c r="H10" s="144" t="s">
        <v>536</v>
      </c>
      <c r="I10" s="137">
        <v>250000</v>
      </c>
      <c r="J10" s="137">
        <v>12500</v>
      </c>
      <c r="K10" s="137">
        <v>12500</v>
      </c>
      <c r="L10" s="137">
        <v>0</v>
      </c>
      <c r="M10" s="137">
        <v>0</v>
      </c>
      <c r="N10" s="137">
        <v>0</v>
      </c>
      <c r="O10" s="137">
        <f>+I10-(SUM(J10:N10))</f>
        <v>225000</v>
      </c>
    </row>
    <row r="11" spans="1:16" s="138" customFormat="1" ht="129.94999999999999" customHeight="1" x14ac:dyDescent="0.2">
      <c r="A11" s="130">
        <v>3</v>
      </c>
      <c r="B11" s="162" t="s">
        <v>537</v>
      </c>
      <c r="C11" s="142" t="s">
        <v>538</v>
      </c>
      <c r="D11" s="141" t="s">
        <v>539</v>
      </c>
      <c r="E11" s="143" t="s">
        <v>529</v>
      </c>
      <c r="F11" s="143" t="s">
        <v>526</v>
      </c>
      <c r="G11" s="143" t="s">
        <v>540</v>
      </c>
      <c r="H11" s="144" t="s">
        <v>541</v>
      </c>
      <c r="I11" s="137">
        <v>25000</v>
      </c>
      <c r="J11" s="137">
        <v>12500</v>
      </c>
      <c r="K11" s="137">
        <v>12500</v>
      </c>
      <c r="L11" s="137">
        <v>0</v>
      </c>
      <c r="M11" s="137">
        <v>0</v>
      </c>
      <c r="N11" s="137">
        <v>0</v>
      </c>
      <c r="O11" s="137">
        <f>+I11-(SUM(J11:N11))</f>
        <v>0</v>
      </c>
    </row>
    <row r="12" spans="1:16" ht="20.100000000000001" customHeight="1" x14ac:dyDescent="0.3">
      <c r="A12" s="124" t="s">
        <v>269</v>
      </c>
      <c r="B12" s="160"/>
      <c r="C12" s="126"/>
      <c r="D12" s="126"/>
      <c r="E12" s="127"/>
      <c r="F12" s="128"/>
      <c r="G12" s="128"/>
      <c r="H12" s="128"/>
      <c r="I12" s="129">
        <f>SUM(I13:I48)</f>
        <v>6321118</v>
      </c>
      <c r="J12" s="129">
        <f t="shared" ref="J12:O12" si="1">SUM(J13:J48)</f>
        <v>311507.90000000002</v>
      </c>
      <c r="K12" s="129">
        <f t="shared" si="1"/>
        <v>311507.90000000002</v>
      </c>
      <c r="L12" s="129">
        <f t="shared" si="1"/>
        <v>38140</v>
      </c>
      <c r="M12" s="129">
        <f t="shared" si="1"/>
        <v>51570</v>
      </c>
      <c r="N12" s="129">
        <f t="shared" si="1"/>
        <v>0</v>
      </c>
      <c r="O12" s="129">
        <f t="shared" si="1"/>
        <v>5608392.1999999993</v>
      </c>
    </row>
    <row r="13" spans="1:16" s="138" customFormat="1" ht="90" customHeight="1" x14ac:dyDescent="0.2">
      <c r="A13" s="130">
        <v>1</v>
      </c>
      <c r="B13" s="161">
        <v>241709</v>
      </c>
      <c r="C13" s="132" t="s">
        <v>542</v>
      </c>
      <c r="D13" s="133" t="s">
        <v>543</v>
      </c>
      <c r="E13" s="134" t="s">
        <v>115</v>
      </c>
      <c r="F13" s="134" t="s">
        <v>117</v>
      </c>
      <c r="G13" s="134" t="s">
        <v>544</v>
      </c>
      <c r="H13" s="135" t="s">
        <v>545</v>
      </c>
      <c r="I13" s="136">
        <v>422000</v>
      </c>
      <c r="J13" s="137">
        <v>21100</v>
      </c>
      <c r="K13" s="137">
        <v>21100</v>
      </c>
      <c r="L13" s="137">
        <v>0</v>
      </c>
      <c r="M13" s="137">
        <v>0</v>
      </c>
      <c r="N13" s="137">
        <v>0</v>
      </c>
      <c r="O13" s="137">
        <f>+I13-(SUM(J13:N13))</f>
        <v>379800</v>
      </c>
    </row>
    <row r="14" spans="1:16" s="138" customFormat="1" ht="90" customHeight="1" x14ac:dyDescent="0.2">
      <c r="A14" s="130">
        <v>2</v>
      </c>
      <c r="B14" s="161">
        <v>241709</v>
      </c>
      <c r="C14" s="132" t="s">
        <v>546</v>
      </c>
      <c r="D14" s="133" t="s">
        <v>547</v>
      </c>
      <c r="E14" s="134" t="s">
        <v>115</v>
      </c>
      <c r="F14" s="134" t="s">
        <v>117</v>
      </c>
      <c r="G14" s="134" t="s">
        <v>548</v>
      </c>
      <c r="H14" s="135" t="s">
        <v>545</v>
      </c>
      <c r="I14" s="136">
        <v>583000</v>
      </c>
      <c r="J14" s="137">
        <v>29150</v>
      </c>
      <c r="K14" s="137">
        <v>29150</v>
      </c>
      <c r="L14" s="137">
        <v>0</v>
      </c>
      <c r="M14" s="137">
        <v>0</v>
      </c>
      <c r="N14" s="137">
        <v>0</v>
      </c>
      <c r="O14" s="137">
        <f t="shared" ref="O14:O48" si="2">+I14-(SUM(J14:N14))</f>
        <v>524700</v>
      </c>
    </row>
    <row r="15" spans="1:16" s="138" customFormat="1" ht="90" customHeight="1" x14ac:dyDescent="0.2">
      <c r="A15" s="130">
        <v>3</v>
      </c>
      <c r="B15" s="161">
        <v>241719</v>
      </c>
      <c r="C15" s="132" t="s">
        <v>549</v>
      </c>
      <c r="D15" s="133" t="s">
        <v>550</v>
      </c>
      <c r="E15" s="134" t="s">
        <v>115</v>
      </c>
      <c r="F15" s="134" t="s">
        <v>117</v>
      </c>
      <c r="G15" s="134" t="s">
        <v>551</v>
      </c>
      <c r="H15" s="135" t="s">
        <v>545</v>
      </c>
      <c r="I15" s="136">
        <v>480000</v>
      </c>
      <c r="J15" s="137">
        <v>24000</v>
      </c>
      <c r="K15" s="137">
        <v>24000</v>
      </c>
      <c r="L15" s="137">
        <v>0</v>
      </c>
      <c r="M15" s="137">
        <v>0</v>
      </c>
      <c r="N15" s="137">
        <v>0</v>
      </c>
      <c r="O15" s="137">
        <f t="shared" si="2"/>
        <v>432000</v>
      </c>
    </row>
    <row r="16" spans="1:16" s="138" customFormat="1" ht="90" customHeight="1" x14ac:dyDescent="0.2">
      <c r="A16" s="130">
        <v>4</v>
      </c>
      <c r="B16" s="161">
        <v>241731</v>
      </c>
      <c r="C16" s="132" t="s">
        <v>552</v>
      </c>
      <c r="D16" s="133" t="s">
        <v>553</v>
      </c>
      <c r="E16" s="134" t="s">
        <v>115</v>
      </c>
      <c r="F16" s="134" t="s">
        <v>117</v>
      </c>
      <c r="G16" s="134" t="s">
        <v>554</v>
      </c>
      <c r="H16" s="135" t="s">
        <v>545</v>
      </c>
      <c r="I16" s="136">
        <v>505000</v>
      </c>
      <c r="J16" s="137">
        <v>25250</v>
      </c>
      <c r="K16" s="137">
        <v>25250</v>
      </c>
      <c r="L16" s="137">
        <v>0</v>
      </c>
      <c r="M16" s="137">
        <v>0</v>
      </c>
      <c r="N16" s="137">
        <v>0</v>
      </c>
      <c r="O16" s="137">
        <f t="shared" si="2"/>
        <v>454500</v>
      </c>
    </row>
    <row r="17" spans="1:15" s="138" customFormat="1" ht="90" customHeight="1" x14ac:dyDescent="0.2">
      <c r="A17" s="130">
        <v>5</v>
      </c>
      <c r="B17" s="162" t="s">
        <v>555</v>
      </c>
      <c r="C17" s="142" t="s">
        <v>556</v>
      </c>
      <c r="D17" s="141" t="s">
        <v>557</v>
      </c>
      <c r="E17" s="143" t="s">
        <v>115</v>
      </c>
      <c r="F17" s="143" t="s">
        <v>117</v>
      </c>
      <c r="G17" s="143" t="s">
        <v>558</v>
      </c>
      <c r="H17" s="144" t="s">
        <v>545</v>
      </c>
      <c r="I17" s="137">
        <v>304000</v>
      </c>
      <c r="J17" s="137">
        <v>15200</v>
      </c>
      <c r="K17" s="137">
        <v>15200</v>
      </c>
      <c r="L17" s="137">
        <v>0</v>
      </c>
      <c r="M17" s="137">
        <v>0</v>
      </c>
      <c r="N17" s="137">
        <v>0</v>
      </c>
      <c r="O17" s="137">
        <f t="shared" si="2"/>
        <v>273600</v>
      </c>
    </row>
    <row r="18" spans="1:15" s="138" customFormat="1" ht="150" customHeight="1" x14ac:dyDescent="0.2">
      <c r="A18" s="130">
        <v>6</v>
      </c>
      <c r="B18" s="162" t="s">
        <v>559</v>
      </c>
      <c r="C18" s="142" t="s">
        <v>560</v>
      </c>
      <c r="D18" s="141" t="s">
        <v>561</v>
      </c>
      <c r="E18" s="143" t="s">
        <v>335</v>
      </c>
      <c r="F18" s="143" t="s">
        <v>19</v>
      </c>
      <c r="G18" s="143" t="s">
        <v>336</v>
      </c>
      <c r="H18" s="144" t="s">
        <v>562</v>
      </c>
      <c r="I18" s="137">
        <v>95000</v>
      </c>
      <c r="J18" s="137">
        <v>4750</v>
      </c>
      <c r="K18" s="137">
        <v>4750</v>
      </c>
      <c r="L18" s="137">
        <v>0</v>
      </c>
      <c r="M18" s="137">
        <v>0</v>
      </c>
      <c r="N18" s="137">
        <v>0</v>
      </c>
      <c r="O18" s="137">
        <f t="shared" si="2"/>
        <v>85500</v>
      </c>
    </row>
    <row r="19" spans="1:15" s="138" customFormat="1" ht="90" customHeight="1" x14ac:dyDescent="0.2">
      <c r="A19" s="130">
        <v>7</v>
      </c>
      <c r="B19" s="162" t="s">
        <v>563</v>
      </c>
      <c r="C19" s="142" t="s">
        <v>564</v>
      </c>
      <c r="D19" s="141" t="s">
        <v>565</v>
      </c>
      <c r="E19" s="143" t="s">
        <v>115</v>
      </c>
      <c r="F19" s="143" t="s">
        <v>117</v>
      </c>
      <c r="G19" s="143" t="s">
        <v>566</v>
      </c>
      <c r="H19" s="144" t="s">
        <v>545</v>
      </c>
      <c r="I19" s="137">
        <v>648000</v>
      </c>
      <c r="J19" s="137">
        <v>32400</v>
      </c>
      <c r="K19" s="137">
        <v>32400</v>
      </c>
      <c r="L19" s="137">
        <v>0</v>
      </c>
      <c r="M19" s="137">
        <v>0</v>
      </c>
      <c r="N19" s="137">
        <v>0</v>
      </c>
      <c r="O19" s="137">
        <f t="shared" si="2"/>
        <v>583200</v>
      </c>
    </row>
    <row r="20" spans="1:15" s="138" customFormat="1" ht="90" customHeight="1" x14ac:dyDescent="0.2">
      <c r="A20" s="130">
        <v>8</v>
      </c>
      <c r="B20" s="162" t="s">
        <v>563</v>
      </c>
      <c r="C20" s="142" t="s">
        <v>567</v>
      </c>
      <c r="D20" s="141" t="s">
        <v>568</v>
      </c>
      <c r="E20" s="143" t="s">
        <v>115</v>
      </c>
      <c r="F20" s="143" t="s">
        <v>117</v>
      </c>
      <c r="G20" s="143" t="s">
        <v>318</v>
      </c>
      <c r="H20" s="144" t="s">
        <v>569</v>
      </c>
      <c r="I20" s="137">
        <v>1250</v>
      </c>
      <c r="J20" s="137">
        <v>0</v>
      </c>
      <c r="K20" s="137">
        <v>0</v>
      </c>
      <c r="L20" s="137">
        <v>0</v>
      </c>
      <c r="M20" s="137">
        <v>0</v>
      </c>
      <c r="N20" s="145" t="s">
        <v>311</v>
      </c>
      <c r="O20" s="137">
        <f t="shared" si="2"/>
        <v>1250</v>
      </c>
    </row>
    <row r="21" spans="1:15" s="138" customFormat="1" ht="110.1" customHeight="1" x14ac:dyDescent="0.2">
      <c r="A21" s="130">
        <v>9</v>
      </c>
      <c r="B21" s="162" t="s">
        <v>563</v>
      </c>
      <c r="C21" s="142" t="s">
        <v>316</v>
      </c>
      <c r="D21" s="141" t="s">
        <v>570</v>
      </c>
      <c r="E21" s="143" t="s">
        <v>302</v>
      </c>
      <c r="F21" s="143" t="s">
        <v>117</v>
      </c>
      <c r="G21" s="143" t="s">
        <v>441</v>
      </c>
      <c r="H21" s="144" t="s">
        <v>571</v>
      </c>
      <c r="I21" s="137">
        <v>36000</v>
      </c>
      <c r="J21" s="137">
        <v>1800</v>
      </c>
      <c r="K21" s="137">
        <v>1800</v>
      </c>
      <c r="L21" s="137">
        <v>0</v>
      </c>
      <c r="M21" s="137">
        <v>0</v>
      </c>
      <c r="N21" s="137">
        <v>0</v>
      </c>
      <c r="O21" s="137">
        <f t="shared" si="2"/>
        <v>32400</v>
      </c>
    </row>
    <row r="22" spans="1:15" s="138" customFormat="1" ht="90" customHeight="1" x14ac:dyDescent="0.2">
      <c r="A22" s="130">
        <v>10</v>
      </c>
      <c r="B22" s="162" t="s">
        <v>572</v>
      </c>
      <c r="C22" s="142" t="s">
        <v>573</v>
      </c>
      <c r="D22" s="141" t="s">
        <v>574</v>
      </c>
      <c r="E22" s="143" t="s">
        <v>115</v>
      </c>
      <c r="F22" s="143" t="s">
        <v>117</v>
      </c>
      <c r="G22" s="143" t="s">
        <v>575</v>
      </c>
      <c r="H22" s="144" t="s">
        <v>545</v>
      </c>
      <c r="I22" s="137">
        <v>387000</v>
      </c>
      <c r="J22" s="137">
        <v>19350</v>
      </c>
      <c r="K22" s="137">
        <v>19350</v>
      </c>
      <c r="L22" s="137">
        <v>0</v>
      </c>
      <c r="M22" s="137">
        <v>0</v>
      </c>
      <c r="N22" s="137">
        <v>0</v>
      </c>
      <c r="O22" s="137">
        <f t="shared" si="2"/>
        <v>348300</v>
      </c>
    </row>
    <row r="23" spans="1:15" s="138" customFormat="1" ht="90" customHeight="1" x14ac:dyDescent="0.2">
      <c r="A23" s="130">
        <v>11</v>
      </c>
      <c r="B23" s="162" t="s">
        <v>576</v>
      </c>
      <c r="C23" s="142" t="s">
        <v>577</v>
      </c>
      <c r="D23" s="141" t="s">
        <v>578</v>
      </c>
      <c r="E23" s="143" t="s">
        <v>115</v>
      </c>
      <c r="F23" s="143" t="s">
        <v>117</v>
      </c>
      <c r="G23" s="143" t="s">
        <v>289</v>
      </c>
      <c r="H23" s="144" t="s">
        <v>545</v>
      </c>
      <c r="I23" s="137">
        <v>80000</v>
      </c>
      <c r="J23" s="137">
        <v>4000</v>
      </c>
      <c r="K23" s="137">
        <v>4000</v>
      </c>
      <c r="L23" s="137">
        <v>0</v>
      </c>
      <c r="M23" s="137">
        <v>0</v>
      </c>
      <c r="N23" s="137">
        <v>0</v>
      </c>
      <c r="O23" s="137">
        <f t="shared" si="2"/>
        <v>72000</v>
      </c>
    </row>
    <row r="24" spans="1:15" s="138" customFormat="1" ht="90" customHeight="1" x14ac:dyDescent="0.2">
      <c r="A24" s="130">
        <v>12</v>
      </c>
      <c r="B24" s="162" t="s">
        <v>579</v>
      </c>
      <c r="C24" s="142" t="s">
        <v>580</v>
      </c>
      <c r="D24" s="141" t="s">
        <v>581</v>
      </c>
      <c r="E24" s="143" t="s">
        <v>115</v>
      </c>
      <c r="F24" s="143" t="s">
        <v>117</v>
      </c>
      <c r="G24" s="143" t="s">
        <v>318</v>
      </c>
      <c r="H24" s="144" t="s">
        <v>545</v>
      </c>
      <c r="I24" s="137">
        <v>19000</v>
      </c>
      <c r="J24" s="137">
        <v>950</v>
      </c>
      <c r="K24" s="137">
        <v>950</v>
      </c>
      <c r="L24" s="137">
        <v>0</v>
      </c>
      <c r="M24" s="137">
        <v>0</v>
      </c>
      <c r="N24" s="137">
        <v>0</v>
      </c>
      <c r="O24" s="137">
        <f t="shared" si="2"/>
        <v>17100</v>
      </c>
    </row>
    <row r="25" spans="1:15" s="138" customFormat="1" ht="90" customHeight="1" x14ac:dyDescent="0.2">
      <c r="A25" s="130">
        <v>13</v>
      </c>
      <c r="B25" s="162" t="s">
        <v>582</v>
      </c>
      <c r="C25" s="142" t="s">
        <v>583</v>
      </c>
      <c r="D25" s="141" t="s">
        <v>584</v>
      </c>
      <c r="E25" s="143" t="s">
        <v>115</v>
      </c>
      <c r="F25" s="143" t="s">
        <v>117</v>
      </c>
      <c r="G25" s="143" t="s">
        <v>441</v>
      </c>
      <c r="H25" s="144" t="s">
        <v>545</v>
      </c>
      <c r="I25" s="137">
        <v>69000</v>
      </c>
      <c r="J25" s="137">
        <v>3450</v>
      </c>
      <c r="K25" s="137">
        <v>3450</v>
      </c>
      <c r="L25" s="137">
        <v>0</v>
      </c>
      <c r="M25" s="137">
        <v>0</v>
      </c>
      <c r="N25" s="137">
        <v>0</v>
      </c>
      <c r="O25" s="137">
        <f t="shared" si="2"/>
        <v>62100</v>
      </c>
    </row>
    <row r="26" spans="1:15" s="138" customFormat="1" ht="90" customHeight="1" x14ac:dyDescent="0.2">
      <c r="A26" s="130">
        <v>14</v>
      </c>
      <c r="B26" s="162" t="s">
        <v>585</v>
      </c>
      <c r="C26" s="142" t="s">
        <v>586</v>
      </c>
      <c r="D26" s="141" t="s">
        <v>587</v>
      </c>
      <c r="E26" s="143" t="s">
        <v>115</v>
      </c>
      <c r="F26" s="143" t="s">
        <v>117</v>
      </c>
      <c r="G26" s="143" t="s">
        <v>303</v>
      </c>
      <c r="H26" s="144" t="s">
        <v>545</v>
      </c>
      <c r="I26" s="137">
        <v>50000</v>
      </c>
      <c r="J26" s="137">
        <v>2500</v>
      </c>
      <c r="K26" s="137">
        <v>2500</v>
      </c>
      <c r="L26" s="137">
        <v>0</v>
      </c>
      <c r="M26" s="137">
        <v>0</v>
      </c>
      <c r="N26" s="137">
        <v>0</v>
      </c>
      <c r="O26" s="137">
        <f t="shared" si="2"/>
        <v>45000</v>
      </c>
    </row>
    <row r="27" spans="1:15" s="138" customFormat="1" ht="147.94999999999999" customHeight="1" x14ac:dyDescent="0.2">
      <c r="A27" s="130">
        <v>15</v>
      </c>
      <c r="B27" s="162" t="s">
        <v>588</v>
      </c>
      <c r="C27" s="142" t="s">
        <v>589</v>
      </c>
      <c r="D27" s="141" t="s">
        <v>590</v>
      </c>
      <c r="E27" s="143" t="s">
        <v>335</v>
      </c>
      <c r="F27" s="143" t="s">
        <v>19</v>
      </c>
      <c r="G27" s="143" t="s">
        <v>336</v>
      </c>
      <c r="H27" s="144" t="s">
        <v>591</v>
      </c>
      <c r="I27" s="137">
        <v>50000</v>
      </c>
      <c r="J27" s="137">
        <v>2500</v>
      </c>
      <c r="K27" s="137">
        <v>2500</v>
      </c>
      <c r="L27" s="137">
        <v>0</v>
      </c>
      <c r="M27" s="137">
        <v>0</v>
      </c>
      <c r="N27" s="137">
        <v>0</v>
      </c>
      <c r="O27" s="137">
        <f t="shared" si="2"/>
        <v>45000</v>
      </c>
    </row>
    <row r="28" spans="1:15" s="138" customFormat="1" ht="117" customHeight="1" x14ac:dyDescent="0.2">
      <c r="A28" s="130">
        <v>16</v>
      </c>
      <c r="B28" s="162" t="s">
        <v>592</v>
      </c>
      <c r="C28" s="142" t="s">
        <v>593</v>
      </c>
      <c r="D28" s="141" t="s">
        <v>594</v>
      </c>
      <c r="E28" s="143" t="s">
        <v>595</v>
      </c>
      <c r="F28" s="143" t="s">
        <v>161</v>
      </c>
      <c r="G28" s="143" t="s">
        <v>596</v>
      </c>
      <c r="H28" s="144" t="s">
        <v>597</v>
      </c>
      <c r="I28" s="137">
        <v>150000</v>
      </c>
      <c r="J28" s="137">
        <v>7500</v>
      </c>
      <c r="K28" s="137">
        <v>7500</v>
      </c>
      <c r="L28" s="137">
        <v>0</v>
      </c>
      <c r="M28" s="137">
        <v>0</v>
      </c>
      <c r="N28" s="137">
        <v>0</v>
      </c>
      <c r="O28" s="137">
        <f t="shared" si="2"/>
        <v>135000</v>
      </c>
    </row>
    <row r="29" spans="1:15" s="138" customFormat="1" ht="95.1" customHeight="1" x14ac:dyDescent="0.2">
      <c r="A29" s="130">
        <v>17</v>
      </c>
      <c r="B29" s="162" t="s">
        <v>598</v>
      </c>
      <c r="C29" s="142" t="s">
        <v>599</v>
      </c>
      <c r="D29" s="141" t="s">
        <v>600</v>
      </c>
      <c r="E29" s="143" t="s">
        <v>115</v>
      </c>
      <c r="F29" s="143" t="s">
        <v>117</v>
      </c>
      <c r="G29" s="143" t="s">
        <v>601</v>
      </c>
      <c r="H29" s="144" t="s">
        <v>545</v>
      </c>
      <c r="I29" s="137">
        <v>10000</v>
      </c>
      <c r="J29" s="137">
        <v>500</v>
      </c>
      <c r="K29" s="137">
        <v>500</v>
      </c>
      <c r="L29" s="137">
        <v>0</v>
      </c>
      <c r="M29" s="137">
        <v>0</v>
      </c>
      <c r="N29" s="137">
        <v>0</v>
      </c>
      <c r="O29" s="137">
        <f t="shared" si="2"/>
        <v>9000</v>
      </c>
    </row>
    <row r="30" spans="1:15" s="138" customFormat="1" ht="95.1" customHeight="1" x14ac:dyDescent="0.2">
      <c r="A30" s="130">
        <v>18</v>
      </c>
      <c r="B30" s="162" t="s">
        <v>602</v>
      </c>
      <c r="C30" s="142" t="s">
        <v>603</v>
      </c>
      <c r="D30" s="141" t="s">
        <v>604</v>
      </c>
      <c r="E30" s="143" t="s">
        <v>605</v>
      </c>
      <c r="F30" s="143" t="s">
        <v>360</v>
      </c>
      <c r="G30" s="143" t="s">
        <v>606</v>
      </c>
      <c r="H30" s="144" t="s">
        <v>607</v>
      </c>
      <c r="I30" s="137">
        <v>313500</v>
      </c>
      <c r="J30" s="137">
        <v>15675</v>
      </c>
      <c r="K30" s="137">
        <v>15675</v>
      </c>
      <c r="L30" s="137">
        <v>0</v>
      </c>
      <c r="M30" s="137">
        <v>0</v>
      </c>
      <c r="N30" s="137">
        <v>0</v>
      </c>
      <c r="O30" s="137">
        <f t="shared" si="2"/>
        <v>282150</v>
      </c>
    </row>
    <row r="31" spans="1:15" s="138" customFormat="1" ht="185.1" customHeight="1" x14ac:dyDescent="0.2">
      <c r="A31" s="130">
        <v>19</v>
      </c>
      <c r="B31" s="162" t="s">
        <v>608</v>
      </c>
      <c r="C31" s="142" t="s">
        <v>609</v>
      </c>
      <c r="D31" s="141" t="s">
        <v>610</v>
      </c>
      <c r="E31" s="143" t="s">
        <v>199</v>
      </c>
      <c r="F31" s="143" t="s">
        <v>19</v>
      </c>
      <c r="G31" s="143" t="s">
        <v>611</v>
      </c>
      <c r="H31" s="144" t="s">
        <v>612</v>
      </c>
      <c r="I31" s="137">
        <v>570000</v>
      </c>
      <c r="J31" s="137">
        <v>28500</v>
      </c>
      <c r="K31" s="137">
        <v>28500</v>
      </c>
      <c r="L31" s="137">
        <v>0</v>
      </c>
      <c r="M31" s="137">
        <v>0</v>
      </c>
      <c r="N31" s="137">
        <v>0</v>
      </c>
      <c r="O31" s="137">
        <f t="shared" si="2"/>
        <v>513000</v>
      </c>
    </row>
    <row r="32" spans="1:15" s="138" customFormat="1" ht="132" customHeight="1" x14ac:dyDescent="0.2">
      <c r="A32" s="130">
        <v>20</v>
      </c>
      <c r="B32" s="162" t="s">
        <v>613</v>
      </c>
      <c r="C32" s="142" t="s">
        <v>614</v>
      </c>
      <c r="D32" s="141" t="s">
        <v>615</v>
      </c>
      <c r="E32" s="143" t="s">
        <v>616</v>
      </c>
      <c r="F32" s="143" t="s">
        <v>117</v>
      </c>
      <c r="G32" s="143" t="s">
        <v>617</v>
      </c>
      <c r="H32" s="144" t="s">
        <v>618</v>
      </c>
      <c r="I32" s="137">
        <v>20000</v>
      </c>
      <c r="J32" s="137">
        <v>0</v>
      </c>
      <c r="K32" s="137">
        <v>0</v>
      </c>
      <c r="L32" s="137">
        <v>5000</v>
      </c>
      <c r="M32" s="137">
        <v>15000</v>
      </c>
      <c r="N32" s="137">
        <v>0</v>
      </c>
      <c r="O32" s="137">
        <f t="shared" si="2"/>
        <v>0</v>
      </c>
    </row>
    <row r="33" spans="1:15" s="138" customFormat="1" ht="120" customHeight="1" x14ac:dyDescent="0.2">
      <c r="A33" s="130">
        <v>21</v>
      </c>
      <c r="B33" s="162" t="s">
        <v>619</v>
      </c>
      <c r="C33" s="142" t="s">
        <v>620</v>
      </c>
      <c r="D33" s="141" t="s">
        <v>621</v>
      </c>
      <c r="E33" s="143" t="s">
        <v>622</v>
      </c>
      <c r="F33" s="143" t="s">
        <v>360</v>
      </c>
      <c r="G33" s="143" t="s">
        <v>623</v>
      </c>
      <c r="H33" s="144" t="s">
        <v>624</v>
      </c>
      <c r="I33" s="137">
        <v>28359</v>
      </c>
      <c r="J33" s="137">
        <v>1417.95</v>
      </c>
      <c r="K33" s="137">
        <v>1417.95</v>
      </c>
      <c r="L33" s="137">
        <v>0</v>
      </c>
      <c r="M33" s="137">
        <v>0</v>
      </c>
      <c r="N33" s="137">
        <v>0</v>
      </c>
      <c r="O33" s="137">
        <f t="shared" si="2"/>
        <v>25523.1</v>
      </c>
    </row>
    <row r="34" spans="1:15" s="138" customFormat="1" ht="110.1" customHeight="1" x14ac:dyDescent="0.2">
      <c r="A34" s="130">
        <v>22</v>
      </c>
      <c r="B34" s="162" t="s">
        <v>625</v>
      </c>
      <c r="C34" s="142" t="s">
        <v>626</v>
      </c>
      <c r="D34" s="141" t="s">
        <v>627</v>
      </c>
      <c r="E34" s="143" t="s">
        <v>628</v>
      </c>
      <c r="F34" s="143" t="s">
        <v>161</v>
      </c>
      <c r="G34" s="143" t="s">
        <v>617</v>
      </c>
      <c r="H34" s="144" t="s">
        <v>629</v>
      </c>
      <c r="I34" s="137">
        <v>12425</v>
      </c>
      <c r="J34" s="137">
        <v>0</v>
      </c>
      <c r="K34" s="137">
        <v>0</v>
      </c>
      <c r="L34" s="137">
        <v>12425</v>
      </c>
      <c r="M34" s="137">
        <v>0</v>
      </c>
      <c r="N34" s="137">
        <v>0</v>
      </c>
      <c r="O34" s="137">
        <f t="shared" si="2"/>
        <v>0</v>
      </c>
    </row>
    <row r="35" spans="1:15" s="138" customFormat="1" ht="120" customHeight="1" x14ac:dyDescent="0.2">
      <c r="A35" s="130">
        <v>23</v>
      </c>
      <c r="B35" s="162" t="s">
        <v>630</v>
      </c>
      <c r="C35" s="142" t="s">
        <v>631</v>
      </c>
      <c r="D35" s="141" t="s">
        <v>632</v>
      </c>
      <c r="E35" s="143" t="s">
        <v>595</v>
      </c>
      <c r="F35" s="143" t="s">
        <v>161</v>
      </c>
      <c r="G35" s="143" t="s">
        <v>596</v>
      </c>
      <c r="H35" s="144" t="s">
        <v>633</v>
      </c>
      <c r="I35" s="137">
        <v>150000</v>
      </c>
      <c r="J35" s="137">
        <v>7500</v>
      </c>
      <c r="K35" s="137">
        <v>7500</v>
      </c>
      <c r="L35" s="137">
        <v>0</v>
      </c>
      <c r="M35" s="137">
        <v>0</v>
      </c>
      <c r="N35" s="137">
        <v>0</v>
      </c>
      <c r="O35" s="137">
        <f t="shared" si="2"/>
        <v>135000</v>
      </c>
    </row>
    <row r="36" spans="1:15" s="138" customFormat="1" ht="140.1" customHeight="1" x14ac:dyDescent="0.2">
      <c r="A36" s="130">
        <v>24</v>
      </c>
      <c r="B36" s="162" t="s">
        <v>630</v>
      </c>
      <c r="C36" s="142" t="s">
        <v>634</v>
      </c>
      <c r="D36" s="141" t="s">
        <v>635</v>
      </c>
      <c r="E36" s="163" t="s">
        <v>605</v>
      </c>
      <c r="F36" s="143" t="s">
        <v>360</v>
      </c>
      <c r="G36" s="143" t="s">
        <v>636</v>
      </c>
      <c r="H36" s="144" t="s">
        <v>637</v>
      </c>
      <c r="I36" s="137">
        <v>36000</v>
      </c>
      <c r="J36" s="137">
        <v>1800</v>
      </c>
      <c r="K36" s="137">
        <v>1800</v>
      </c>
      <c r="L36" s="137">
        <v>0</v>
      </c>
      <c r="M36" s="137">
        <v>0</v>
      </c>
      <c r="N36" s="137">
        <v>0</v>
      </c>
      <c r="O36" s="137">
        <f t="shared" si="2"/>
        <v>32400</v>
      </c>
    </row>
    <row r="37" spans="1:15" s="138" customFormat="1" ht="99.95" customHeight="1" x14ac:dyDescent="0.2">
      <c r="A37" s="130">
        <v>25</v>
      </c>
      <c r="B37" s="162" t="s">
        <v>638</v>
      </c>
      <c r="C37" s="142" t="s">
        <v>639</v>
      </c>
      <c r="D37" s="141" t="s">
        <v>640</v>
      </c>
      <c r="E37" s="163" t="s">
        <v>605</v>
      </c>
      <c r="F37" s="143" t="s">
        <v>360</v>
      </c>
      <c r="G37" s="143" t="s">
        <v>606</v>
      </c>
      <c r="H37" s="144" t="s">
        <v>641</v>
      </c>
      <c r="I37" s="137">
        <v>522500</v>
      </c>
      <c r="J37" s="137">
        <v>26125</v>
      </c>
      <c r="K37" s="137">
        <v>26125</v>
      </c>
      <c r="L37" s="137">
        <v>0</v>
      </c>
      <c r="M37" s="137">
        <v>0</v>
      </c>
      <c r="N37" s="137">
        <v>0</v>
      </c>
      <c r="O37" s="137">
        <f t="shared" si="2"/>
        <v>470250</v>
      </c>
    </row>
    <row r="38" spans="1:15" s="138" customFormat="1" ht="111.95" customHeight="1" x14ac:dyDescent="0.2">
      <c r="A38" s="130">
        <v>26</v>
      </c>
      <c r="B38" s="162">
        <v>241947</v>
      </c>
      <c r="C38" s="142" t="s">
        <v>642</v>
      </c>
      <c r="D38" s="141" t="s">
        <v>643</v>
      </c>
      <c r="E38" s="143" t="s">
        <v>622</v>
      </c>
      <c r="F38" s="143" t="s">
        <v>360</v>
      </c>
      <c r="G38" s="143" t="s">
        <v>623</v>
      </c>
      <c r="H38" s="144" t="s">
        <v>644</v>
      </c>
      <c r="I38" s="137">
        <v>28359</v>
      </c>
      <c r="J38" s="137">
        <v>1417.95</v>
      </c>
      <c r="K38" s="137">
        <v>1417.95</v>
      </c>
      <c r="L38" s="137">
        <v>0</v>
      </c>
      <c r="M38" s="137">
        <v>0</v>
      </c>
      <c r="N38" s="137">
        <v>0</v>
      </c>
      <c r="O38" s="137">
        <f t="shared" si="2"/>
        <v>25523.1</v>
      </c>
    </row>
    <row r="39" spans="1:15" s="138" customFormat="1" ht="99.95" customHeight="1" x14ac:dyDescent="0.2">
      <c r="A39" s="130">
        <v>27</v>
      </c>
      <c r="B39" s="162">
        <v>241947</v>
      </c>
      <c r="C39" s="142" t="s">
        <v>645</v>
      </c>
      <c r="D39" s="141" t="s">
        <v>646</v>
      </c>
      <c r="E39" s="163" t="s">
        <v>647</v>
      </c>
      <c r="F39" s="143" t="s">
        <v>161</v>
      </c>
      <c r="G39" s="143" t="s">
        <v>617</v>
      </c>
      <c r="H39" s="144" t="s">
        <v>648</v>
      </c>
      <c r="I39" s="137">
        <v>35160</v>
      </c>
      <c r="J39" s="137">
        <v>0</v>
      </c>
      <c r="K39" s="137">
        <v>0</v>
      </c>
      <c r="L39" s="137">
        <v>8790</v>
      </c>
      <c r="M39" s="137">
        <v>26370</v>
      </c>
      <c r="N39" s="137">
        <v>0</v>
      </c>
      <c r="O39" s="137">
        <f t="shared" si="2"/>
        <v>0</v>
      </c>
    </row>
    <row r="40" spans="1:15" s="138" customFormat="1" ht="99.95" customHeight="1" x14ac:dyDescent="0.2">
      <c r="A40" s="130">
        <v>28</v>
      </c>
      <c r="B40" s="162">
        <v>241954</v>
      </c>
      <c r="C40" s="142" t="s">
        <v>649</v>
      </c>
      <c r="D40" s="141" t="s">
        <v>650</v>
      </c>
      <c r="E40" s="163" t="s">
        <v>651</v>
      </c>
      <c r="F40" s="143" t="s">
        <v>161</v>
      </c>
      <c r="G40" s="143" t="s">
        <v>617</v>
      </c>
      <c r="H40" s="144" t="s">
        <v>652</v>
      </c>
      <c r="I40" s="137">
        <v>8525</v>
      </c>
      <c r="J40" s="137">
        <v>0</v>
      </c>
      <c r="K40" s="137">
        <v>0</v>
      </c>
      <c r="L40" s="137">
        <v>8525</v>
      </c>
      <c r="M40" s="137">
        <v>0</v>
      </c>
      <c r="N40" s="137">
        <v>0</v>
      </c>
      <c r="O40" s="137">
        <f t="shared" si="2"/>
        <v>0</v>
      </c>
    </row>
    <row r="41" spans="1:15" s="138" customFormat="1" ht="99.95" customHeight="1" x14ac:dyDescent="0.2">
      <c r="A41" s="130">
        <v>29</v>
      </c>
      <c r="B41" s="162">
        <v>241956</v>
      </c>
      <c r="C41" s="142" t="s">
        <v>653</v>
      </c>
      <c r="D41" s="141" t="s">
        <v>654</v>
      </c>
      <c r="E41" s="163" t="s">
        <v>655</v>
      </c>
      <c r="F41" s="143" t="s">
        <v>117</v>
      </c>
      <c r="G41" s="143" t="s">
        <v>617</v>
      </c>
      <c r="H41" s="144" t="s">
        <v>656</v>
      </c>
      <c r="I41" s="137">
        <v>13600</v>
      </c>
      <c r="J41" s="137">
        <v>0</v>
      </c>
      <c r="K41" s="137">
        <v>0</v>
      </c>
      <c r="L41" s="137">
        <v>3400</v>
      </c>
      <c r="M41" s="137">
        <v>10200</v>
      </c>
      <c r="N41" s="137">
        <v>0</v>
      </c>
      <c r="O41" s="137">
        <f t="shared" si="2"/>
        <v>0</v>
      </c>
    </row>
    <row r="42" spans="1:15" s="138" customFormat="1" ht="120" customHeight="1" x14ac:dyDescent="0.2">
      <c r="A42" s="130">
        <v>30</v>
      </c>
      <c r="B42" s="162" t="s">
        <v>657</v>
      </c>
      <c r="C42" s="142" t="s">
        <v>658</v>
      </c>
      <c r="D42" s="141" t="s">
        <v>659</v>
      </c>
      <c r="E42" s="163" t="s">
        <v>622</v>
      </c>
      <c r="F42" s="143" t="s">
        <v>360</v>
      </c>
      <c r="G42" s="143" t="s">
        <v>623</v>
      </c>
      <c r="H42" s="144" t="s">
        <v>660</v>
      </c>
      <c r="I42" s="137">
        <v>28440</v>
      </c>
      <c r="J42" s="137">
        <v>1422</v>
      </c>
      <c r="K42" s="137">
        <v>1422</v>
      </c>
      <c r="L42" s="137"/>
      <c r="M42" s="137"/>
      <c r="N42" s="137"/>
      <c r="O42" s="137">
        <f t="shared" si="2"/>
        <v>25596</v>
      </c>
    </row>
    <row r="43" spans="1:15" s="138" customFormat="1" ht="147.94999999999999" customHeight="1" x14ac:dyDescent="0.2">
      <c r="A43" s="130">
        <v>31</v>
      </c>
      <c r="B43" s="162" t="s">
        <v>661</v>
      </c>
      <c r="C43" s="142" t="s">
        <v>662</v>
      </c>
      <c r="D43" s="141" t="s">
        <v>663</v>
      </c>
      <c r="E43" s="163" t="s">
        <v>199</v>
      </c>
      <c r="F43" s="143" t="s">
        <v>19</v>
      </c>
      <c r="G43" s="143" t="s">
        <v>664</v>
      </c>
      <c r="H43" s="144" t="s">
        <v>665</v>
      </c>
      <c r="I43" s="137">
        <v>75000</v>
      </c>
      <c r="J43" s="137">
        <v>3750</v>
      </c>
      <c r="K43" s="137">
        <v>3750</v>
      </c>
      <c r="L43" s="137">
        <v>0</v>
      </c>
      <c r="M43" s="137">
        <v>0</v>
      </c>
      <c r="N43" s="137">
        <v>0</v>
      </c>
      <c r="O43" s="137">
        <f t="shared" si="2"/>
        <v>67500</v>
      </c>
    </row>
    <row r="44" spans="1:15" s="138" customFormat="1" ht="99.95" customHeight="1" x14ac:dyDescent="0.2">
      <c r="A44" s="130">
        <v>32</v>
      </c>
      <c r="B44" s="162" t="s">
        <v>666</v>
      </c>
      <c r="C44" s="142" t="s">
        <v>667</v>
      </c>
      <c r="D44" s="141" t="s">
        <v>668</v>
      </c>
      <c r="E44" s="143" t="s">
        <v>115</v>
      </c>
      <c r="F44" s="143" t="s">
        <v>117</v>
      </c>
      <c r="G44" s="143" t="s">
        <v>303</v>
      </c>
      <c r="H44" s="144" t="s">
        <v>545</v>
      </c>
      <c r="I44" s="137">
        <v>60000</v>
      </c>
      <c r="J44" s="137">
        <v>3000</v>
      </c>
      <c r="K44" s="137">
        <v>3000</v>
      </c>
      <c r="L44" s="137">
        <v>0</v>
      </c>
      <c r="M44" s="137">
        <v>0</v>
      </c>
      <c r="N44" s="137">
        <v>0</v>
      </c>
      <c r="O44" s="137">
        <f t="shared" si="2"/>
        <v>54000</v>
      </c>
    </row>
    <row r="45" spans="1:15" s="138" customFormat="1" ht="99.95" customHeight="1" x14ac:dyDescent="0.2">
      <c r="A45" s="130">
        <v>33</v>
      </c>
      <c r="B45" s="162" t="s">
        <v>537</v>
      </c>
      <c r="C45" s="142" t="s">
        <v>669</v>
      </c>
      <c r="D45" s="141" t="s">
        <v>670</v>
      </c>
      <c r="E45" s="143" t="s">
        <v>115</v>
      </c>
      <c r="F45" s="143" t="s">
        <v>117</v>
      </c>
      <c r="G45" s="143" t="s">
        <v>303</v>
      </c>
      <c r="H45" s="144" t="s">
        <v>545</v>
      </c>
      <c r="I45" s="137">
        <v>44000</v>
      </c>
      <c r="J45" s="137">
        <v>2200</v>
      </c>
      <c r="K45" s="137">
        <v>2200</v>
      </c>
      <c r="L45" s="137">
        <v>0</v>
      </c>
      <c r="M45" s="137">
        <v>0</v>
      </c>
      <c r="N45" s="137">
        <v>0</v>
      </c>
      <c r="O45" s="137">
        <f t="shared" si="2"/>
        <v>39600</v>
      </c>
    </row>
    <row r="46" spans="1:15" s="138" customFormat="1" ht="99.95" customHeight="1" x14ac:dyDescent="0.2">
      <c r="A46" s="130">
        <v>34</v>
      </c>
      <c r="B46" s="162" t="s">
        <v>671</v>
      </c>
      <c r="C46" s="142" t="s">
        <v>672</v>
      </c>
      <c r="D46" s="141" t="s">
        <v>673</v>
      </c>
      <c r="E46" s="143" t="s">
        <v>115</v>
      </c>
      <c r="F46" s="143" t="s">
        <v>117</v>
      </c>
      <c r="G46" s="143" t="s">
        <v>303</v>
      </c>
      <c r="H46" s="144" t="s">
        <v>545</v>
      </c>
      <c r="I46" s="137">
        <v>40000</v>
      </c>
      <c r="J46" s="137">
        <v>2000</v>
      </c>
      <c r="K46" s="137">
        <v>2000</v>
      </c>
      <c r="L46" s="137">
        <v>0</v>
      </c>
      <c r="M46" s="137">
        <v>0</v>
      </c>
      <c r="N46" s="137">
        <v>0</v>
      </c>
      <c r="O46" s="137">
        <f t="shared" si="2"/>
        <v>36000</v>
      </c>
    </row>
    <row r="47" spans="1:15" s="138" customFormat="1" ht="99.95" customHeight="1" x14ac:dyDescent="0.2">
      <c r="A47" s="130">
        <v>35</v>
      </c>
      <c r="B47" s="162" t="s">
        <v>674</v>
      </c>
      <c r="C47" s="142" t="s">
        <v>675</v>
      </c>
      <c r="D47" s="141" t="s">
        <v>676</v>
      </c>
      <c r="E47" s="143" t="s">
        <v>115</v>
      </c>
      <c r="F47" s="143" t="s">
        <v>117</v>
      </c>
      <c r="G47" s="143" t="s">
        <v>441</v>
      </c>
      <c r="H47" s="144" t="s">
        <v>545</v>
      </c>
      <c r="I47" s="137">
        <v>60000</v>
      </c>
      <c r="J47" s="137">
        <v>3000</v>
      </c>
      <c r="K47" s="137">
        <v>3000</v>
      </c>
      <c r="L47" s="137">
        <v>0</v>
      </c>
      <c r="M47" s="137">
        <v>0</v>
      </c>
      <c r="N47" s="137">
        <v>0</v>
      </c>
      <c r="O47" s="137">
        <f t="shared" si="2"/>
        <v>54000</v>
      </c>
    </row>
    <row r="48" spans="1:15" s="138" customFormat="1" ht="99.95" customHeight="1" x14ac:dyDescent="0.2">
      <c r="A48" s="130">
        <v>36</v>
      </c>
      <c r="B48" s="162" t="s">
        <v>677</v>
      </c>
      <c r="C48" s="142" t="s">
        <v>678</v>
      </c>
      <c r="D48" s="141" t="s">
        <v>679</v>
      </c>
      <c r="E48" s="143" t="s">
        <v>115</v>
      </c>
      <c r="F48" s="143" t="s">
        <v>117</v>
      </c>
      <c r="G48" s="143" t="s">
        <v>680</v>
      </c>
      <c r="H48" s="144" t="s">
        <v>545</v>
      </c>
      <c r="I48" s="137">
        <v>386000</v>
      </c>
      <c r="J48" s="137">
        <v>19300</v>
      </c>
      <c r="K48" s="137">
        <v>19300</v>
      </c>
      <c r="L48" s="137">
        <v>0</v>
      </c>
      <c r="M48" s="137">
        <v>0</v>
      </c>
      <c r="N48" s="137">
        <v>0</v>
      </c>
      <c r="O48" s="137">
        <f t="shared" si="2"/>
        <v>347400</v>
      </c>
    </row>
    <row r="49" spans="1:15" ht="20.100000000000001" customHeight="1" x14ac:dyDescent="0.3">
      <c r="A49" s="124" t="s">
        <v>447</v>
      </c>
      <c r="B49" s="160"/>
      <c r="C49" s="126"/>
      <c r="D49" s="126"/>
      <c r="E49" s="127"/>
      <c r="F49" s="128"/>
      <c r="G49" s="128"/>
      <c r="H49" s="128"/>
      <c r="I49" s="129">
        <f>SUM(I50:I72)</f>
        <v>5100123.68</v>
      </c>
      <c r="J49" s="129">
        <f t="shared" ref="J49:O49" si="3">SUM(J50:J72)</f>
        <v>209814.83</v>
      </c>
      <c r="K49" s="129">
        <f t="shared" si="3"/>
        <v>209814.83</v>
      </c>
      <c r="L49" s="129">
        <f t="shared" si="3"/>
        <v>177684.2</v>
      </c>
      <c r="M49" s="129">
        <f t="shared" si="3"/>
        <v>177684.2</v>
      </c>
      <c r="N49" s="129">
        <f t="shared" si="3"/>
        <v>0</v>
      </c>
      <c r="O49" s="129">
        <f t="shared" si="3"/>
        <v>4325125.62</v>
      </c>
    </row>
    <row r="50" spans="1:15" s="138" customFormat="1" ht="115.5" customHeight="1" x14ac:dyDescent="0.2">
      <c r="A50" s="164">
        <v>1</v>
      </c>
      <c r="B50" s="165" t="s">
        <v>532</v>
      </c>
      <c r="C50" s="166" t="s">
        <v>681</v>
      </c>
      <c r="D50" s="167" t="s">
        <v>682</v>
      </c>
      <c r="E50" s="168" t="s">
        <v>170</v>
      </c>
      <c r="F50" s="168" t="s">
        <v>22</v>
      </c>
      <c r="G50" s="168" t="s">
        <v>502</v>
      </c>
      <c r="H50" s="169" t="s">
        <v>683</v>
      </c>
      <c r="I50" s="170">
        <v>30000</v>
      </c>
      <c r="J50" s="170">
        <v>0</v>
      </c>
      <c r="K50" s="170">
        <v>0</v>
      </c>
      <c r="L50" s="170">
        <v>0</v>
      </c>
      <c r="M50" s="170">
        <v>0</v>
      </c>
      <c r="N50" s="145" t="s">
        <v>311</v>
      </c>
      <c r="O50" s="170">
        <f t="shared" ref="O50:O72" si="4">+I50-(SUM(J50:N50))</f>
        <v>30000</v>
      </c>
    </row>
    <row r="51" spans="1:15" s="138" customFormat="1" ht="95.1" customHeight="1" x14ac:dyDescent="0.2">
      <c r="A51" s="139">
        <v>2</v>
      </c>
      <c r="B51" s="162" t="s">
        <v>572</v>
      </c>
      <c r="C51" s="142" t="s">
        <v>684</v>
      </c>
      <c r="D51" s="141" t="s">
        <v>685</v>
      </c>
      <c r="E51" s="143" t="s">
        <v>686</v>
      </c>
      <c r="F51" s="143" t="s">
        <v>512</v>
      </c>
      <c r="G51" s="143" t="s">
        <v>687</v>
      </c>
      <c r="H51" s="144" t="s">
        <v>688</v>
      </c>
      <c r="I51" s="137">
        <v>79800</v>
      </c>
      <c r="J51" s="137">
        <v>39900</v>
      </c>
      <c r="K51" s="137">
        <v>39900</v>
      </c>
      <c r="L51" s="137">
        <v>0</v>
      </c>
      <c r="M51" s="137">
        <v>0</v>
      </c>
      <c r="N51" s="137">
        <v>0</v>
      </c>
      <c r="O51" s="137">
        <f t="shared" si="4"/>
        <v>0</v>
      </c>
    </row>
    <row r="52" spans="1:15" s="138" customFormat="1" ht="95.1" customHeight="1" x14ac:dyDescent="0.2">
      <c r="A52" s="139">
        <v>3</v>
      </c>
      <c r="B52" s="162" t="s">
        <v>572</v>
      </c>
      <c r="C52" s="142" t="s">
        <v>689</v>
      </c>
      <c r="D52" s="141" t="s">
        <v>690</v>
      </c>
      <c r="E52" s="143" t="s">
        <v>451</v>
      </c>
      <c r="F52" s="143" t="s">
        <v>22</v>
      </c>
      <c r="G52" s="143" t="s">
        <v>457</v>
      </c>
      <c r="H52" s="144" t="s">
        <v>691</v>
      </c>
      <c r="I52" s="137">
        <v>396000</v>
      </c>
      <c r="J52" s="137">
        <v>19800</v>
      </c>
      <c r="K52" s="137">
        <v>19800</v>
      </c>
      <c r="L52" s="137">
        <v>0</v>
      </c>
      <c r="M52" s="137">
        <v>0</v>
      </c>
      <c r="N52" s="137">
        <v>0</v>
      </c>
      <c r="O52" s="137">
        <f t="shared" si="4"/>
        <v>356400</v>
      </c>
    </row>
    <row r="53" spans="1:15" s="138" customFormat="1" ht="95.1" customHeight="1" x14ac:dyDescent="0.2">
      <c r="A53" s="139">
        <v>4</v>
      </c>
      <c r="B53" s="162" t="s">
        <v>572</v>
      </c>
      <c r="C53" s="142" t="s">
        <v>692</v>
      </c>
      <c r="D53" s="141" t="s">
        <v>693</v>
      </c>
      <c r="E53" s="143" t="s">
        <v>388</v>
      </c>
      <c r="F53" s="143" t="s">
        <v>22</v>
      </c>
      <c r="G53" s="143" t="s">
        <v>694</v>
      </c>
      <c r="H53" s="144" t="s">
        <v>695</v>
      </c>
      <c r="I53" s="137">
        <v>71155</v>
      </c>
      <c r="J53" s="137"/>
      <c r="K53" s="137"/>
      <c r="L53" s="137">
        <v>20950</v>
      </c>
      <c r="M53" s="137">
        <v>20950</v>
      </c>
      <c r="N53" s="137">
        <v>0</v>
      </c>
      <c r="O53" s="137">
        <f t="shared" si="4"/>
        <v>29255</v>
      </c>
    </row>
    <row r="54" spans="1:15" s="138" customFormat="1" ht="180" customHeight="1" x14ac:dyDescent="0.2">
      <c r="A54" s="139">
        <v>5</v>
      </c>
      <c r="B54" s="162" t="s">
        <v>696</v>
      </c>
      <c r="C54" s="142" t="s">
        <v>697</v>
      </c>
      <c r="D54" s="141" t="s">
        <v>698</v>
      </c>
      <c r="E54" s="143" t="s">
        <v>699</v>
      </c>
      <c r="F54" s="143" t="s">
        <v>22</v>
      </c>
      <c r="G54" s="143" t="s">
        <v>700</v>
      </c>
      <c r="H54" s="144" t="s">
        <v>701</v>
      </c>
      <c r="I54" s="137">
        <v>134700</v>
      </c>
      <c r="J54" s="137">
        <v>0</v>
      </c>
      <c r="K54" s="137">
        <v>0</v>
      </c>
      <c r="L54" s="137">
        <v>6122.7</v>
      </c>
      <c r="M54" s="137">
        <v>6122.7</v>
      </c>
      <c r="N54" s="137"/>
      <c r="O54" s="137">
        <f t="shared" si="4"/>
        <v>122454.6</v>
      </c>
    </row>
    <row r="55" spans="1:15" s="138" customFormat="1" ht="100.5" customHeight="1" x14ac:dyDescent="0.2">
      <c r="A55" s="139">
        <v>6</v>
      </c>
      <c r="B55" s="162" t="s">
        <v>702</v>
      </c>
      <c r="C55" s="142" t="s">
        <v>703</v>
      </c>
      <c r="D55" s="141" t="s">
        <v>704</v>
      </c>
      <c r="E55" s="143" t="s">
        <v>705</v>
      </c>
      <c r="F55" s="143" t="s">
        <v>706</v>
      </c>
      <c r="G55" s="143" t="s">
        <v>707</v>
      </c>
      <c r="H55" s="144" t="s">
        <v>708</v>
      </c>
      <c r="I55" s="137">
        <v>377400</v>
      </c>
      <c r="J55" s="137">
        <v>18870</v>
      </c>
      <c r="K55" s="137">
        <v>18870</v>
      </c>
      <c r="L55" s="137">
        <v>0</v>
      </c>
      <c r="M55" s="137">
        <v>0</v>
      </c>
      <c r="N55" s="137">
        <v>0</v>
      </c>
      <c r="O55" s="137">
        <f t="shared" si="4"/>
        <v>339660</v>
      </c>
    </row>
    <row r="56" spans="1:15" s="138" customFormat="1" ht="129.94999999999999" customHeight="1" x14ac:dyDescent="0.2">
      <c r="A56" s="139">
        <v>7</v>
      </c>
      <c r="B56" s="162" t="s">
        <v>709</v>
      </c>
      <c r="C56" s="142" t="s">
        <v>710</v>
      </c>
      <c r="D56" s="141" t="s">
        <v>711</v>
      </c>
      <c r="E56" s="143" t="s">
        <v>712</v>
      </c>
      <c r="F56" s="143" t="s">
        <v>22</v>
      </c>
      <c r="G56" s="143" t="s">
        <v>713</v>
      </c>
      <c r="H56" s="144" t="s">
        <v>714</v>
      </c>
      <c r="I56" s="137">
        <v>235400</v>
      </c>
      <c r="J56" s="137">
        <v>11770</v>
      </c>
      <c r="K56" s="137">
        <v>11770</v>
      </c>
      <c r="L56" s="137">
        <v>0</v>
      </c>
      <c r="M56" s="137">
        <v>0</v>
      </c>
      <c r="N56" s="137">
        <v>0</v>
      </c>
      <c r="O56" s="137">
        <f t="shared" si="4"/>
        <v>211860</v>
      </c>
    </row>
    <row r="57" spans="1:15" s="138" customFormat="1" ht="183" customHeight="1" x14ac:dyDescent="0.2">
      <c r="A57" s="139">
        <v>8</v>
      </c>
      <c r="B57" s="162" t="s">
        <v>715</v>
      </c>
      <c r="C57" s="142" t="s">
        <v>716</v>
      </c>
      <c r="D57" s="141" t="s">
        <v>717</v>
      </c>
      <c r="E57" s="143" t="s">
        <v>699</v>
      </c>
      <c r="F57" s="143" t="s">
        <v>22</v>
      </c>
      <c r="G57" s="143" t="s">
        <v>718</v>
      </c>
      <c r="H57" s="144" t="s">
        <v>719</v>
      </c>
      <c r="I57" s="137">
        <v>245500</v>
      </c>
      <c r="J57" s="137">
        <v>0</v>
      </c>
      <c r="K57" s="137">
        <v>0</v>
      </c>
      <c r="L57" s="137">
        <v>10204.5</v>
      </c>
      <c r="M57" s="137">
        <v>10204.5</v>
      </c>
      <c r="N57" s="137">
        <v>0</v>
      </c>
      <c r="O57" s="137">
        <f t="shared" si="4"/>
        <v>225091</v>
      </c>
    </row>
    <row r="58" spans="1:15" s="138" customFormat="1" ht="146.1" customHeight="1" x14ac:dyDescent="0.2">
      <c r="A58" s="139">
        <v>9</v>
      </c>
      <c r="B58" s="162" t="s">
        <v>720</v>
      </c>
      <c r="C58" s="142" t="s">
        <v>721</v>
      </c>
      <c r="D58" s="141" t="s">
        <v>722</v>
      </c>
      <c r="E58" s="143" t="s">
        <v>723</v>
      </c>
      <c r="F58" s="143" t="s">
        <v>22</v>
      </c>
      <c r="G58" s="143" t="s">
        <v>724</v>
      </c>
      <c r="H58" s="144" t="s">
        <v>725</v>
      </c>
      <c r="I58" s="137">
        <v>79998</v>
      </c>
      <c r="J58" s="137">
        <v>39999</v>
      </c>
      <c r="K58" s="137">
        <v>39999</v>
      </c>
      <c r="L58" s="137">
        <v>0</v>
      </c>
      <c r="M58" s="137">
        <v>0</v>
      </c>
      <c r="N58" s="137">
        <v>0</v>
      </c>
      <c r="O58" s="137">
        <f t="shared" si="4"/>
        <v>0</v>
      </c>
    </row>
    <row r="59" spans="1:15" s="138" customFormat="1" ht="99.95" customHeight="1" x14ac:dyDescent="0.2">
      <c r="A59" s="139">
        <v>10</v>
      </c>
      <c r="B59" s="162" t="s">
        <v>720</v>
      </c>
      <c r="C59" s="142" t="s">
        <v>726</v>
      </c>
      <c r="D59" s="141" t="s">
        <v>727</v>
      </c>
      <c r="E59" s="143" t="s">
        <v>728</v>
      </c>
      <c r="F59" s="143" t="s">
        <v>22</v>
      </c>
      <c r="G59" s="143" t="s">
        <v>718</v>
      </c>
      <c r="H59" s="144" t="s">
        <v>729</v>
      </c>
      <c r="I59" s="137">
        <v>450000</v>
      </c>
      <c r="J59" s="137">
        <v>0</v>
      </c>
      <c r="K59" s="137">
        <v>0</v>
      </c>
      <c r="L59" s="171" t="s">
        <v>730</v>
      </c>
      <c r="M59" s="171" t="s">
        <v>730</v>
      </c>
      <c r="N59" s="137">
        <v>0</v>
      </c>
      <c r="O59" s="137">
        <f t="shared" si="4"/>
        <v>450000</v>
      </c>
    </row>
    <row r="60" spans="1:15" s="138" customFormat="1" ht="99.95" customHeight="1" x14ac:dyDescent="0.2">
      <c r="A60" s="139">
        <v>11</v>
      </c>
      <c r="B60" s="162" t="s">
        <v>630</v>
      </c>
      <c r="C60" s="142" t="s">
        <v>731</v>
      </c>
      <c r="D60" s="141" t="s">
        <v>732</v>
      </c>
      <c r="E60" s="143" t="s">
        <v>733</v>
      </c>
      <c r="F60" s="143" t="s">
        <v>512</v>
      </c>
      <c r="G60" s="143" t="s">
        <v>734</v>
      </c>
      <c r="H60" s="144" t="s">
        <v>735</v>
      </c>
      <c r="I60" s="137">
        <v>189260</v>
      </c>
      <c r="J60" s="137">
        <v>0</v>
      </c>
      <c r="K60" s="137">
        <v>0</v>
      </c>
      <c r="L60" s="171">
        <v>15000</v>
      </c>
      <c r="M60" s="171">
        <v>15000</v>
      </c>
      <c r="N60" s="137">
        <v>0</v>
      </c>
      <c r="O60" s="137">
        <f t="shared" si="4"/>
        <v>159260</v>
      </c>
    </row>
    <row r="61" spans="1:15" s="138" customFormat="1" ht="120" customHeight="1" x14ac:dyDescent="0.2">
      <c r="A61" s="139">
        <v>12</v>
      </c>
      <c r="B61" s="162" t="s">
        <v>630</v>
      </c>
      <c r="C61" s="142" t="s">
        <v>736</v>
      </c>
      <c r="D61" s="141" t="s">
        <v>737</v>
      </c>
      <c r="E61" s="143" t="s">
        <v>738</v>
      </c>
      <c r="F61" s="143" t="s">
        <v>739</v>
      </c>
      <c r="G61" s="143" t="s">
        <v>734</v>
      </c>
      <c r="H61" s="144" t="s">
        <v>740</v>
      </c>
      <c r="I61" s="137">
        <v>204080</v>
      </c>
      <c r="J61" s="137">
        <v>0</v>
      </c>
      <c r="K61" s="137">
        <v>0</v>
      </c>
      <c r="L61" s="171">
        <v>15000</v>
      </c>
      <c r="M61" s="171">
        <v>15000</v>
      </c>
      <c r="N61" s="137">
        <v>0</v>
      </c>
      <c r="O61" s="137">
        <f t="shared" si="4"/>
        <v>174080</v>
      </c>
    </row>
    <row r="62" spans="1:15" s="138" customFormat="1" ht="99.95" customHeight="1" x14ac:dyDescent="0.2">
      <c r="A62" s="139">
        <v>13</v>
      </c>
      <c r="B62" s="162" t="s">
        <v>638</v>
      </c>
      <c r="C62" s="142" t="s">
        <v>741</v>
      </c>
      <c r="D62" s="141" t="s">
        <v>742</v>
      </c>
      <c r="E62" s="143" t="s">
        <v>388</v>
      </c>
      <c r="F62" s="143" t="s">
        <v>22</v>
      </c>
      <c r="G62" s="143" t="s">
        <v>694</v>
      </c>
      <c r="H62" s="144" t="s">
        <v>743</v>
      </c>
      <c r="I62" s="137">
        <v>28500</v>
      </c>
      <c r="J62" s="137">
        <v>0</v>
      </c>
      <c r="K62" s="137">
        <v>0</v>
      </c>
      <c r="L62" s="171" t="s">
        <v>730</v>
      </c>
      <c r="M62" s="171" t="s">
        <v>730</v>
      </c>
      <c r="N62" s="137">
        <v>0</v>
      </c>
      <c r="O62" s="137">
        <f t="shared" si="4"/>
        <v>28500</v>
      </c>
    </row>
    <row r="63" spans="1:15" s="138" customFormat="1" ht="114.95" customHeight="1" x14ac:dyDescent="0.2">
      <c r="A63" s="139">
        <v>14</v>
      </c>
      <c r="B63" s="162" t="s">
        <v>657</v>
      </c>
      <c r="C63" s="142" t="s">
        <v>744</v>
      </c>
      <c r="D63" s="141" t="s">
        <v>745</v>
      </c>
      <c r="E63" s="143" t="s">
        <v>746</v>
      </c>
      <c r="F63" s="143" t="s">
        <v>22</v>
      </c>
      <c r="G63" s="143" t="s">
        <v>513</v>
      </c>
      <c r="H63" s="144" t="s">
        <v>747</v>
      </c>
      <c r="I63" s="137">
        <v>18000</v>
      </c>
      <c r="J63" s="137">
        <v>0</v>
      </c>
      <c r="K63" s="137">
        <v>0</v>
      </c>
      <c r="L63" s="171" t="s">
        <v>748</v>
      </c>
      <c r="M63" s="171" t="s">
        <v>748</v>
      </c>
      <c r="N63" s="137"/>
      <c r="O63" s="137">
        <f t="shared" si="4"/>
        <v>18000</v>
      </c>
    </row>
    <row r="64" spans="1:15" s="138" customFormat="1" ht="165" customHeight="1" x14ac:dyDescent="0.2">
      <c r="A64" s="139">
        <v>15</v>
      </c>
      <c r="B64" s="162" t="s">
        <v>749</v>
      </c>
      <c r="C64" s="142" t="s">
        <v>750</v>
      </c>
      <c r="D64" s="141" t="s">
        <v>751</v>
      </c>
      <c r="E64" s="143" t="s">
        <v>752</v>
      </c>
      <c r="F64" s="143" t="s">
        <v>706</v>
      </c>
      <c r="G64" s="143" t="s">
        <v>753</v>
      </c>
      <c r="H64" s="144" t="s">
        <v>754</v>
      </c>
      <c r="I64" s="137">
        <v>72814</v>
      </c>
      <c r="J64" s="137"/>
      <c r="K64" s="137"/>
      <c r="L64" s="137">
        <v>36407</v>
      </c>
      <c r="M64" s="137">
        <v>36407</v>
      </c>
      <c r="N64" s="137"/>
      <c r="O64" s="137">
        <f t="shared" si="4"/>
        <v>0</v>
      </c>
    </row>
    <row r="65" spans="1:15" s="138" customFormat="1" ht="99.95" customHeight="1" x14ac:dyDescent="0.2">
      <c r="A65" s="139">
        <v>16</v>
      </c>
      <c r="B65" s="162" t="s">
        <v>755</v>
      </c>
      <c r="C65" s="142" t="s">
        <v>756</v>
      </c>
      <c r="D65" s="141" t="s">
        <v>757</v>
      </c>
      <c r="E65" s="143" t="s">
        <v>728</v>
      </c>
      <c r="F65" s="143" t="s">
        <v>22</v>
      </c>
      <c r="G65" s="143" t="s">
        <v>718</v>
      </c>
      <c r="H65" s="144" t="s">
        <v>758</v>
      </c>
      <c r="I65" s="137">
        <v>750000</v>
      </c>
      <c r="J65" s="137">
        <v>0</v>
      </c>
      <c r="K65" s="137">
        <v>0</v>
      </c>
      <c r="L65" s="171" t="s">
        <v>730</v>
      </c>
      <c r="M65" s="171" t="s">
        <v>730</v>
      </c>
      <c r="N65" s="137"/>
      <c r="O65" s="137">
        <f t="shared" si="4"/>
        <v>750000</v>
      </c>
    </row>
    <row r="66" spans="1:15" s="138" customFormat="1" ht="116.1" customHeight="1" x14ac:dyDescent="0.2">
      <c r="A66" s="139">
        <v>17</v>
      </c>
      <c r="B66" s="162" t="s">
        <v>759</v>
      </c>
      <c r="C66" s="142" t="s">
        <v>760</v>
      </c>
      <c r="D66" s="141" t="s">
        <v>761</v>
      </c>
      <c r="E66" s="143" t="s">
        <v>451</v>
      </c>
      <c r="F66" s="143" t="s">
        <v>22</v>
      </c>
      <c r="G66" s="143" t="s">
        <v>452</v>
      </c>
      <c r="H66" s="144" t="s">
        <v>762</v>
      </c>
      <c r="I66" s="137">
        <v>350570.04</v>
      </c>
      <c r="J66" s="137">
        <v>17528.5</v>
      </c>
      <c r="K66" s="137">
        <v>17528.5</v>
      </c>
      <c r="L66" s="171">
        <v>0</v>
      </c>
      <c r="M66" s="171">
        <v>0</v>
      </c>
      <c r="N66" s="137">
        <v>0</v>
      </c>
      <c r="O66" s="137">
        <f t="shared" si="4"/>
        <v>315513.03999999998</v>
      </c>
    </row>
    <row r="67" spans="1:15" s="138" customFormat="1" ht="83.1" customHeight="1" x14ac:dyDescent="0.2">
      <c r="A67" s="139">
        <v>18</v>
      </c>
      <c r="B67" s="162" t="s">
        <v>759</v>
      </c>
      <c r="C67" s="142" t="s">
        <v>763</v>
      </c>
      <c r="D67" s="141" t="s">
        <v>764</v>
      </c>
      <c r="E67" s="143" t="s">
        <v>451</v>
      </c>
      <c r="F67" s="143" t="s">
        <v>22</v>
      </c>
      <c r="G67" s="143" t="s">
        <v>452</v>
      </c>
      <c r="H67" s="144" t="s">
        <v>765</v>
      </c>
      <c r="I67" s="137">
        <v>203546.64</v>
      </c>
      <c r="J67" s="137">
        <v>10177.33</v>
      </c>
      <c r="K67" s="137">
        <v>10177.33</v>
      </c>
      <c r="L67" s="171">
        <v>0</v>
      </c>
      <c r="M67" s="171">
        <v>0</v>
      </c>
      <c r="N67" s="137">
        <v>0</v>
      </c>
      <c r="O67" s="137">
        <f t="shared" si="4"/>
        <v>183191.98</v>
      </c>
    </row>
    <row r="68" spans="1:15" s="138" customFormat="1" ht="135" customHeight="1" x14ac:dyDescent="0.2">
      <c r="A68" s="139">
        <v>19</v>
      </c>
      <c r="B68" s="162" t="s">
        <v>766</v>
      </c>
      <c r="C68" s="142" t="s">
        <v>767</v>
      </c>
      <c r="D68" s="141" t="s">
        <v>768</v>
      </c>
      <c r="E68" s="143" t="s">
        <v>769</v>
      </c>
      <c r="F68" s="143" t="s">
        <v>22</v>
      </c>
      <c r="G68" s="143" t="s">
        <v>770</v>
      </c>
      <c r="H68" s="144" t="s">
        <v>771</v>
      </c>
      <c r="I68" s="137">
        <v>74000</v>
      </c>
      <c r="J68" s="137">
        <v>0</v>
      </c>
      <c r="K68" s="137">
        <v>0</v>
      </c>
      <c r="L68" s="171">
        <v>74000</v>
      </c>
      <c r="M68" s="171">
        <v>0</v>
      </c>
      <c r="N68" s="137">
        <v>0</v>
      </c>
      <c r="O68" s="137">
        <f t="shared" si="4"/>
        <v>0</v>
      </c>
    </row>
    <row r="69" spans="1:15" s="138" customFormat="1" ht="135" customHeight="1" x14ac:dyDescent="0.2">
      <c r="A69" s="139">
        <v>20</v>
      </c>
      <c r="B69" s="162" t="s">
        <v>766</v>
      </c>
      <c r="C69" s="142" t="s">
        <v>772</v>
      </c>
      <c r="D69" s="141" t="s">
        <v>768</v>
      </c>
      <c r="E69" s="143" t="s">
        <v>769</v>
      </c>
      <c r="F69" s="143" t="s">
        <v>22</v>
      </c>
      <c r="G69" s="143" t="s">
        <v>773</v>
      </c>
      <c r="H69" s="144" t="s">
        <v>771</v>
      </c>
      <c r="I69" s="137">
        <v>74000</v>
      </c>
      <c r="J69" s="137">
        <v>0</v>
      </c>
      <c r="K69" s="137">
        <v>0</v>
      </c>
      <c r="L69" s="171">
        <v>0</v>
      </c>
      <c r="M69" s="171">
        <v>74000</v>
      </c>
      <c r="N69" s="137">
        <v>0</v>
      </c>
      <c r="O69" s="137">
        <f t="shared" si="4"/>
        <v>0</v>
      </c>
    </row>
    <row r="70" spans="1:15" s="138" customFormat="1" ht="99.95" customHeight="1" x14ac:dyDescent="0.2">
      <c r="A70" s="139">
        <v>21</v>
      </c>
      <c r="B70" s="162" t="s">
        <v>766</v>
      </c>
      <c r="C70" s="142" t="s">
        <v>774</v>
      </c>
      <c r="D70" s="141" t="s">
        <v>775</v>
      </c>
      <c r="E70" s="143" t="s">
        <v>705</v>
      </c>
      <c r="F70" s="143" t="s">
        <v>706</v>
      </c>
      <c r="G70" s="143" t="s">
        <v>707</v>
      </c>
      <c r="H70" s="144" t="s">
        <v>776</v>
      </c>
      <c r="I70" s="137">
        <v>503200</v>
      </c>
      <c r="J70" s="137">
        <v>25160</v>
      </c>
      <c r="K70" s="137">
        <v>25160</v>
      </c>
      <c r="L70" s="171">
        <v>0</v>
      </c>
      <c r="M70" s="171">
        <v>0</v>
      </c>
      <c r="N70" s="137">
        <v>0</v>
      </c>
      <c r="O70" s="137">
        <f t="shared" si="4"/>
        <v>452880</v>
      </c>
    </row>
    <row r="71" spans="1:15" s="138" customFormat="1" ht="99.95" customHeight="1" x14ac:dyDescent="0.2">
      <c r="A71" s="139">
        <v>22</v>
      </c>
      <c r="B71" s="162" t="s">
        <v>777</v>
      </c>
      <c r="C71" s="142" t="s">
        <v>778</v>
      </c>
      <c r="D71" s="141" t="s">
        <v>779</v>
      </c>
      <c r="E71" s="143" t="s">
        <v>705</v>
      </c>
      <c r="F71" s="143" t="s">
        <v>706</v>
      </c>
      <c r="G71" s="143" t="s">
        <v>707</v>
      </c>
      <c r="H71" s="144" t="s">
        <v>780</v>
      </c>
      <c r="I71" s="137">
        <v>377400</v>
      </c>
      <c r="J71" s="137">
        <v>18870</v>
      </c>
      <c r="K71" s="137">
        <v>18870</v>
      </c>
      <c r="L71" s="171">
        <v>0</v>
      </c>
      <c r="M71" s="171">
        <v>0</v>
      </c>
      <c r="N71" s="137">
        <v>0</v>
      </c>
      <c r="O71" s="137">
        <f t="shared" si="4"/>
        <v>339660</v>
      </c>
    </row>
    <row r="72" spans="1:15" s="138" customFormat="1" ht="129.94999999999999" customHeight="1" x14ac:dyDescent="0.2">
      <c r="A72" s="139">
        <v>23</v>
      </c>
      <c r="B72" s="162" t="s">
        <v>537</v>
      </c>
      <c r="C72" s="142" t="s">
        <v>781</v>
      </c>
      <c r="D72" s="141" t="s">
        <v>782</v>
      </c>
      <c r="E72" s="143" t="s">
        <v>712</v>
      </c>
      <c r="F72" s="143" t="s">
        <v>22</v>
      </c>
      <c r="G72" s="143" t="s">
        <v>713</v>
      </c>
      <c r="H72" s="144" t="s">
        <v>783</v>
      </c>
      <c r="I72" s="137">
        <v>154800</v>
      </c>
      <c r="J72" s="137">
        <v>7740</v>
      </c>
      <c r="K72" s="137">
        <v>7740</v>
      </c>
      <c r="L72" s="171">
        <v>0</v>
      </c>
      <c r="M72" s="171">
        <v>0</v>
      </c>
      <c r="N72" s="137">
        <v>0</v>
      </c>
      <c r="O72" s="137">
        <f t="shared" si="4"/>
        <v>139320</v>
      </c>
    </row>
    <row r="73" spans="1:15" ht="20.100000000000001" customHeight="1" x14ac:dyDescent="0.3">
      <c r="A73" s="124" t="s">
        <v>515</v>
      </c>
      <c r="B73" s="160"/>
      <c r="C73" s="126"/>
      <c r="D73" s="126"/>
      <c r="E73" s="127"/>
      <c r="F73" s="128"/>
      <c r="G73" s="128"/>
      <c r="H73" s="128"/>
      <c r="I73" s="129">
        <f>SUM(I74)</f>
        <v>0</v>
      </c>
      <c r="J73" s="129">
        <f t="shared" ref="J73:O73" si="5">SUM(J74)</f>
        <v>0</v>
      </c>
      <c r="K73" s="129">
        <f t="shared" si="5"/>
        <v>0</v>
      </c>
      <c r="L73" s="129">
        <f t="shared" si="5"/>
        <v>0</v>
      </c>
      <c r="M73" s="129">
        <f t="shared" si="5"/>
        <v>0</v>
      </c>
      <c r="N73" s="129">
        <f t="shared" si="5"/>
        <v>0</v>
      </c>
      <c r="O73" s="129">
        <f t="shared" si="5"/>
        <v>0</v>
      </c>
    </row>
    <row r="74" spans="1:15" s="151" customFormat="1" ht="20.100000000000001" customHeight="1" x14ac:dyDescent="0.2">
      <c r="A74" s="146"/>
      <c r="B74" s="172"/>
      <c r="C74" s="146"/>
      <c r="D74" s="146"/>
      <c r="E74" s="148"/>
      <c r="F74" s="149"/>
      <c r="G74" s="149"/>
      <c r="H74" s="149"/>
      <c r="I74" s="150"/>
      <c r="J74" s="150"/>
      <c r="K74" s="150"/>
      <c r="L74" s="150"/>
      <c r="M74" s="150"/>
      <c r="N74" s="150"/>
      <c r="O74" s="150"/>
    </row>
    <row r="75" spans="1:15" s="153" customFormat="1" ht="20.100000000000001" customHeight="1" x14ac:dyDescent="0.2">
      <c r="A75" s="592" t="s">
        <v>784</v>
      </c>
      <c r="B75" s="593"/>
      <c r="C75" s="593"/>
      <c r="D75" s="593"/>
      <c r="E75" s="593"/>
      <c r="F75" s="593"/>
      <c r="G75" s="593"/>
      <c r="H75" s="594"/>
      <c r="I75" s="152">
        <f t="shared" ref="I75:O75" si="6">+I12+I49+I73+I8</f>
        <v>11716241.68</v>
      </c>
      <c r="J75" s="152">
        <f t="shared" si="6"/>
        <v>556322.73</v>
      </c>
      <c r="K75" s="152">
        <f t="shared" si="6"/>
        <v>556322.73</v>
      </c>
      <c r="L75" s="152">
        <f t="shared" si="6"/>
        <v>215824.2</v>
      </c>
      <c r="M75" s="152">
        <f t="shared" si="6"/>
        <v>229254.2</v>
      </c>
      <c r="N75" s="152">
        <f t="shared" si="6"/>
        <v>0</v>
      </c>
      <c r="O75" s="152">
        <f t="shared" si="6"/>
        <v>10158517.82</v>
      </c>
    </row>
    <row r="253" spans="1:16" ht="18.75" x14ac:dyDescent="0.3">
      <c r="A253" s="588" t="s">
        <v>517</v>
      </c>
      <c r="B253" s="588"/>
      <c r="C253" s="588"/>
      <c r="D253" s="588"/>
      <c r="E253" s="588" t="s">
        <v>518</v>
      </c>
      <c r="F253" s="588"/>
      <c r="G253" s="588"/>
      <c r="H253" s="588" t="s">
        <v>518</v>
      </c>
      <c r="I253" s="588"/>
      <c r="J253" s="588"/>
      <c r="K253" s="588"/>
      <c r="L253" s="589" t="s">
        <v>519</v>
      </c>
      <c r="M253" s="589"/>
      <c r="N253" s="589"/>
      <c r="O253" s="589"/>
      <c r="P253" s="154"/>
    </row>
    <row r="254" spans="1:16" ht="18.75" x14ac:dyDescent="0.3">
      <c r="A254" s="588" t="s">
        <v>785</v>
      </c>
      <c r="B254" s="588"/>
      <c r="C254" s="588"/>
      <c r="D254" s="588"/>
      <c r="E254" s="588" t="s">
        <v>786</v>
      </c>
      <c r="F254" s="588"/>
      <c r="G254" s="588"/>
      <c r="H254" s="588" t="s">
        <v>520</v>
      </c>
      <c r="I254" s="588"/>
      <c r="J254" s="588"/>
      <c r="K254" s="588"/>
      <c r="L254" s="589" t="s">
        <v>521</v>
      </c>
      <c r="M254" s="589"/>
      <c r="N254" s="589"/>
      <c r="O254" s="589"/>
      <c r="P254" s="154"/>
    </row>
    <row r="255" spans="1:16" ht="18.75" x14ac:dyDescent="0.3">
      <c r="A255" s="588" t="s">
        <v>787</v>
      </c>
      <c r="B255" s="588"/>
      <c r="C255" s="588"/>
      <c r="D255" s="588"/>
      <c r="E255" s="588" t="s">
        <v>522</v>
      </c>
      <c r="F255" s="588"/>
      <c r="G255" s="588"/>
      <c r="H255" s="588" t="s">
        <v>523</v>
      </c>
      <c r="I255" s="588"/>
      <c r="J255" s="588"/>
      <c r="K255" s="588"/>
      <c r="L255" s="589" t="s">
        <v>524</v>
      </c>
      <c r="M255" s="589"/>
      <c r="N255" s="589"/>
      <c r="O255" s="589"/>
      <c r="P255" s="154"/>
    </row>
  </sheetData>
  <mergeCells count="30">
    <mergeCell ref="A1:O1"/>
    <mergeCell ref="A2:O2"/>
    <mergeCell ref="A3:O3"/>
    <mergeCell ref="A5:A7"/>
    <mergeCell ref="B5:I5"/>
    <mergeCell ref="J5:M5"/>
    <mergeCell ref="O5:O7"/>
    <mergeCell ref="B6:B7"/>
    <mergeCell ref="C6:C7"/>
    <mergeCell ref="D6:D7"/>
    <mergeCell ref="L6:N6"/>
    <mergeCell ref="E6:E7"/>
    <mergeCell ref="F6:F7"/>
    <mergeCell ref="G6:G7"/>
    <mergeCell ref="H6:H7"/>
    <mergeCell ref="I6:I7"/>
    <mergeCell ref="A255:D255"/>
    <mergeCell ref="E255:G255"/>
    <mergeCell ref="H255:K255"/>
    <mergeCell ref="L255:O255"/>
    <mergeCell ref="J6:K6"/>
    <mergeCell ref="A254:D254"/>
    <mergeCell ref="E254:G254"/>
    <mergeCell ref="H254:K254"/>
    <mergeCell ref="L254:O254"/>
    <mergeCell ref="A75:H75"/>
    <mergeCell ref="A253:D253"/>
    <mergeCell ref="E253:G253"/>
    <mergeCell ref="H253:K253"/>
    <mergeCell ref="L253:O25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8"/>
  <sheetViews>
    <sheetView topLeftCell="A67" workbookViewId="0">
      <selection activeCell="A3" sqref="A3:I3"/>
    </sheetView>
  </sheetViews>
  <sheetFormatPr defaultRowHeight="17.25" x14ac:dyDescent="0.3"/>
  <cols>
    <col min="1" max="1" width="4.625" style="155" customWidth="1"/>
    <col min="2" max="2" width="9.125" style="156" customWidth="1"/>
    <col min="3" max="3" width="10.625" style="155" customWidth="1"/>
    <col min="4" max="4" width="16.625" style="155" customWidth="1"/>
    <col min="5" max="5" width="22.625" style="157" customWidth="1"/>
    <col min="6" max="6" width="15.625" style="113" customWidth="1"/>
    <col min="7" max="7" width="17" style="113" customWidth="1"/>
    <col min="8" max="8" width="25.625" style="113" customWidth="1"/>
    <col min="9" max="9" width="11.625" style="158" customWidth="1"/>
    <col min="10" max="13" width="11.625" style="113" customWidth="1"/>
    <col min="14" max="14" width="9.625" style="113" customWidth="1"/>
    <col min="15" max="15" width="11.625" style="113" customWidth="1"/>
    <col min="16" max="16384" width="9" style="113"/>
  </cols>
  <sheetData>
    <row r="1" spans="1:16" ht="18.75" x14ac:dyDescent="0.3">
      <c r="A1" s="595" t="s">
        <v>250</v>
      </c>
      <c r="B1" s="595"/>
      <c r="C1" s="595"/>
      <c r="D1" s="595"/>
      <c r="E1" s="595"/>
      <c r="F1" s="595"/>
      <c r="G1" s="595"/>
      <c r="H1" s="595"/>
      <c r="I1" s="595"/>
      <c r="J1" s="595"/>
      <c r="K1" s="595"/>
      <c r="L1" s="595"/>
      <c r="M1" s="595"/>
      <c r="N1" s="595"/>
      <c r="O1" s="595"/>
    </row>
    <row r="2" spans="1:16" ht="18.75" x14ac:dyDescent="0.3">
      <c r="A2" s="595" t="s">
        <v>251</v>
      </c>
      <c r="B2" s="595"/>
      <c r="C2" s="595"/>
      <c r="D2" s="595"/>
      <c r="E2" s="595"/>
      <c r="F2" s="595"/>
      <c r="G2" s="595"/>
      <c r="H2" s="595"/>
      <c r="I2" s="595"/>
      <c r="J2" s="595"/>
      <c r="K2" s="595"/>
      <c r="L2" s="595"/>
      <c r="M2" s="595"/>
      <c r="N2" s="595"/>
      <c r="O2" s="595"/>
    </row>
    <row r="3" spans="1:16" ht="18.75" x14ac:dyDescent="0.3">
      <c r="A3" s="595" t="s">
        <v>252</v>
      </c>
      <c r="B3" s="595"/>
      <c r="C3" s="595"/>
      <c r="D3" s="595"/>
      <c r="E3" s="595"/>
      <c r="F3" s="595"/>
      <c r="G3" s="595"/>
      <c r="H3" s="595"/>
      <c r="I3" s="595"/>
      <c r="J3" s="595"/>
      <c r="K3" s="595"/>
      <c r="L3" s="595"/>
      <c r="M3" s="595"/>
      <c r="N3" s="595"/>
      <c r="O3" s="595"/>
    </row>
    <row r="4" spans="1:16" s="117" customFormat="1" ht="8.1" customHeight="1" x14ac:dyDescent="0.3">
      <c r="A4" s="114"/>
      <c r="B4" s="115"/>
      <c r="C4" s="114"/>
      <c r="D4" s="114"/>
      <c r="E4" s="116"/>
      <c r="I4" s="118"/>
    </row>
    <row r="5" spans="1:16" s="121" customFormat="1" ht="38.1" customHeight="1" x14ac:dyDescent="0.3">
      <c r="A5" s="596" t="s">
        <v>253</v>
      </c>
      <c r="B5" s="599" t="s">
        <v>254</v>
      </c>
      <c r="C5" s="600"/>
      <c r="D5" s="600"/>
      <c r="E5" s="600"/>
      <c r="F5" s="600"/>
      <c r="G5" s="600"/>
      <c r="H5" s="600"/>
      <c r="I5" s="601"/>
      <c r="J5" s="602" t="s">
        <v>255</v>
      </c>
      <c r="K5" s="603"/>
      <c r="L5" s="604"/>
      <c r="M5" s="604"/>
      <c r="N5" s="119"/>
      <c r="O5" s="596" t="s">
        <v>256</v>
      </c>
      <c r="P5" s="120"/>
    </row>
    <row r="6" spans="1:16" s="122" customFormat="1" ht="57.95" customHeight="1" x14ac:dyDescent="0.2">
      <c r="A6" s="597"/>
      <c r="B6" s="609" t="s">
        <v>257</v>
      </c>
      <c r="C6" s="606" t="s">
        <v>2</v>
      </c>
      <c r="D6" s="606" t="s">
        <v>258</v>
      </c>
      <c r="E6" s="610" t="s">
        <v>259</v>
      </c>
      <c r="F6" s="606" t="s">
        <v>260</v>
      </c>
      <c r="G6" s="606" t="s">
        <v>261</v>
      </c>
      <c r="H6" s="606" t="s">
        <v>262</v>
      </c>
      <c r="I6" s="608" t="s">
        <v>263</v>
      </c>
      <c r="J6" s="590" t="s">
        <v>264</v>
      </c>
      <c r="K6" s="591"/>
      <c r="L6" s="590" t="s">
        <v>265</v>
      </c>
      <c r="M6" s="591"/>
      <c r="N6" s="607"/>
      <c r="O6" s="597"/>
    </row>
    <row r="7" spans="1:16" s="121" customFormat="1" ht="60" customHeight="1" x14ac:dyDescent="0.3">
      <c r="A7" s="598"/>
      <c r="B7" s="609"/>
      <c r="C7" s="606"/>
      <c r="D7" s="606"/>
      <c r="E7" s="611"/>
      <c r="F7" s="606"/>
      <c r="G7" s="606"/>
      <c r="H7" s="606"/>
      <c r="I7" s="608"/>
      <c r="J7" s="123" t="s">
        <v>266</v>
      </c>
      <c r="K7" s="123" t="s">
        <v>267</v>
      </c>
      <c r="L7" s="123" t="s">
        <v>266</v>
      </c>
      <c r="M7" s="123" t="s">
        <v>267</v>
      </c>
      <c r="N7" s="123" t="s">
        <v>268</v>
      </c>
      <c r="O7" s="598"/>
      <c r="P7" s="120"/>
    </row>
    <row r="8" spans="1:16" ht="20.100000000000001" customHeight="1" x14ac:dyDescent="0.3">
      <c r="A8" s="124" t="s">
        <v>269</v>
      </c>
      <c r="B8" s="125"/>
      <c r="C8" s="126"/>
      <c r="D8" s="126"/>
      <c r="E8" s="127"/>
      <c r="F8" s="128"/>
      <c r="G8" s="128"/>
      <c r="H8" s="128"/>
      <c r="I8" s="129">
        <f>SUM(I9:I50)</f>
        <v>10746818</v>
      </c>
      <c r="J8" s="129">
        <f t="shared" ref="J8:O8" si="0">SUM(J9:J50)</f>
        <v>522773.62</v>
      </c>
      <c r="K8" s="129">
        <f t="shared" si="0"/>
        <v>522773.62</v>
      </c>
      <c r="L8" s="129">
        <f t="shared" si="0"/>
        <v>7500</v>
      </c>
      <c r="M8" s="129">
        <f t="shared" si="0"/>
        <v>7500</v>
      </c>
      <c r="N8" s="129">
        <f t="shared" si="0"/>
        <v>0</v>
      </c>
      <c r="O8" s="129">
        <f t="shared" si="0"/>
        <v>9686270.7599999998</v>
      </c>
    </row>
    <row r="9" spans="1:16" s="138" customFormat="1" ht="90" customHeight="1" x14ac:dyDescent="0.2">
      <c r="A9" s="130">
        <v>1</v>
      </c>
      <c r="B9" s="131" t="s">
        <v>270</v>
      </c>
      <c r="C9" s="132" t="s">
        <v>271</v>
      </c>
      <c r="D9" s="133" t="s">
        <v>272</v>
      </c>
      <c r="E9" s="134" t="s">
        <v>115</v>
      </c>
      <c r="F9" s="134" t="s">
        <v>117</v>
      </c>
      <c r="G9" s="134" t="s">
        <v>273</v>
      </c>
      <c r="H9" s="135" t="s">
        <v>274</v>
      </c>
      <c r="I9" s="136">
        <v>428000</v>
      </c>
      <c r="J9" s="137">
        <v>21400</v>
      </c>
      <c r="K9" s="137">
        <v>21400</v>
      </c>
      <c r="L9" s="137">
        <v>0</v>
      </c>
      <c r="M9" s="137">
        <v>0</v>
      </c>
      <c r="N9" s="137">
        <v>0</v>
      </c>
      <c r="O9" s="137">
        <f>+I9-J9-K9-L9-M9</f>
        <v>385200</v>
      </c>
    </row>
    <row r="10" spans="1:16" s="138" customFormat="1" ht="90" customHeight="1" x14ac:dyDescent="0.2">
      <c r="A10" s="139">
        <v>2</v>
      </c>
      <c r="B10" s="140" t="s">
        <v>275</v>
      </c>
      <c r="C10" s="132" t="s">
        <v>276</v>
      </c>
      <c r="D10" s="141" t="s">
        <v>277</v>
      </c>
      <c r="E10" s="134" t="s">
        <v>115</v>
      </c>
      <c r="F10" s="134" t="s">
        <v>117</v>
      </c>
      <c r="G10" s="134" t="s">
        <v>278</v>
      </c>
      <c r="H10" s="135" t="s">
        <v>274</v>
      </c>
      <c r="I10" s="137">
        <v>257900</v>
      </c>
      <c r="J10" s="137">
        <v>12895</v>
      </c>
      <c r="K10" s="137">
        <v>12895</v>
      </c>
      <c r="L10" s="137">
        <v>0</v>
      </c>
      <c r="M10" s="137">
        <v>0</v>
      </c>
      <c r="N10" s="137">
        <v>0</v>
      </c>
      <c r="O10" s="137">
        <f t="shared" ref="O10:O54" si="1">+I10-J10-K10-L10-M10</f>
        <v>232110</v>
      </c>
    </row>
    <row r="11" spans="1:16" s="138" customFormat="1" ht="285" customHeight="1" x14ac:dyDescent="0.2">
      <c r="A11" s="139">
        <v>3</v>
      </c>
      <c r="B11" s="140" t="s">
        <v>279</v>
      </c>
      <c r="C11" s="142" t="s">
        <v>280</v>
      </c>
      <c r="D11" s="141" t="s">
        <v>281</v>
      </c>
      <c r="E11" s="143" t="s">
        <v>282</v>
      </c>
      <c r="F11" s="143" t="s">
        <v>283</v>
      </c>
      <c r="G11" s="143" t="s">
        <v>284</v>
      </c>
      <c r="H11" s="144" t="s">
        <v>285</v>
      </c>
      <c r="I11" s="137">
        <v>15000</v>
      </c>
      <c r="J11" s="137">
        <v>0</v>
      </c>
      <c r="K11" s="137">
        <v>0</v>
      </c>
      <c r="L11" s="137">
        <v>7500</v>
      </c>
      <c r="M11" s="137">
        <v>7500</v>
      </c>
      <c r="N11" s="137">
        <v>0</v>
      </c>
      <c r="O11" s="137">
        <f t="shared" si="1"/>
        <v>0</v>
      </c>
    </row>
    <row r="12" spans="1:16" s="138" customFormat="1" ht="90" customHeight="1" x14ac:dyDescent="0.2">
      <c r="A12" s="139">
        <v>4</v>
      </c>
      <c r="B12" s="140" t="s">
        <v>286</v>
      </c>
      <c r="C12" s="142" t="s">
        <v>287</v>
      </c>
      <c r="D12" s="141" t="s">
        <v>288</v>
      </c>
      <c r="E12" s="143" t="s">
        <v>115</v>
      </c>
      <c r="F12" s="143" t="s">
        <v>117</v>
      </c>
      <c r="G12" s="134" t="s">
        <v>289</v>
      </c>
      <c r="H12" s="135" t="s">
        <v>274</v>
      </c>
      <c r="I12" s="137">
        <v>373000</v>
      </c>
      <c r="J12" s="137">
        <v>18650</v>
      </c>
      <c r="K12" s="137">
        <v>18650</v>
      </c>
      <c r="L12" s="137">
        <v>0</v>
      </c>
      <c r="M12" s="137">
        <v>0</v>
      </c>
      <c r="N12" s="137">
        <v>0</v>
      </c>
      <c r="O12" s="137">
        <f t="shared" si="1"/>
        <v>335700</v>
      </c>
    </row>
    <row r="13" spans="1:16" s="138" customFormat="1" ht="90" customHeight="1" x14ac:dyDescent="0.2">
      <c r="A13" s="139">
        <v>5</v>
      </c>
      <c r="B13" s="140" t="s">
        <v>290</v>
      </c>
      <c r="C13" s="142" t="s">
        <v>291</v>
      </c>
      <c r="D13" s="141" t="s">
        <v>292</v>
      </c>
      <c r="E13" s="143" t="s">
        <v>115</v>
      </c>
      <c r="F13" s="143" t="s">
        <v>117</v>
      </c>
      <c r="G13" s="134" t="s">
        <v>289</v>
      </c>
      <c r="H13" s="135" t="s">
        <v>274</v>
      </c>
      <c r="I13" s="137">
        <v>95000</v>
      </c>
      <c r="J13" s="137">
        <v>4750</v>
      </c>
      <c r="K13" s="137">
        <v>4750</v>
      </c>
      <c r="L13" s="137">
        <v>0</v>
      </c>
      <c r="M13" s="137">
        <v>0</v>
      </c>
      <c r="N13" s="137">
        <v>0</v>
      </c>
      <c r="O13" s="137">
        <f t="shared" si="1"/>
        <v>85500</v>
      </c>
    </row>
    <row r="14" spans="1:16" s="138" customFormat="1" ht="90" customHeight="1" x14ac:dyDescent="0.2">
      <c r="A14" s="139">
        <v>6</v>
      </c>
      <c r="B14" s="140">
        <v>241390</v>
      </c>
      <c r="C14" s="142" t="s">
        <v>293</v>
      </c>
      <c r="D14" s="141" t="s">
        <v>294</v>
      </c>
      <c r="E14" s="143" t="s">
        <v>115</v>
      </c>
      <c r="F14" s="143" t="s">
        <v>117</v>
      </c>
      <c r="G14" s="134" t="s">
        <v>295</v>
      </c>
      <c r="H14" s="135" t="s">
        <v>274</v>
      </c>
      <c r="I14" s="137">
        <v>370000</v>
      </c>
      <c r="J14" s="137">
        <v>18500</v>
      </c>
      <c r="K14" s="137">
        <v>18500</v>
      </c>
      <c r="L14" s="137">
        <v>0</v>
      </c>
      <c r="M14" s="137">
        <v>0</v>
      </c>
      <c r="N14" s="137">
        <v>0</v>
      </c>
      <c r="O14" s="137">
        <f t="shared" si="1"/>
        <v>333000</v>
      </c>
    </row>
    <row r="15" spans="1:16" s="138" customFormat="1" ht="90" customHeight="1" x14ac:dyDescent="0.2">
      <c r="A15" s="139">
        <v>7</v>
      </c>
      <c r="B15" s="140" t="s">
        <v>296</v>
      </c>
      <c r="C15" s="142" t="s">
        <v>297</v>
      </c>
      <c r="D15" s="141" t="s">
        <v>298</v>
      </c>
      <c r="E15" s="143" t="s">
        <v>115</v>
      </c>
      <c r="F15" s="143" t="s">
        <v>117</v>
      </c>
      <c r="G15" s="134" t="s">
        <v>299</v>
      </c>
      <c r="H15" s="135" t="s">
        <v>274</v>
      </c>
      <c r="I15" s="137">
        <v>575000</v>
      </c>
      <c r="J15" s="137">
        <v>28750</v>
      </c>
      <c r="K15" s="137">
        <v>28750</v>
      </c>
      <c r="L15" s="137">
        <v>0</v>
      </c>
      <c r="M15" s="137">
        <v>0</v>
      </c>
      <c r="N15" s="137">
        <v>0</v>
      </c>
      <c r="O15" s="137">
        <f t="shared" si="1"/>
        <v>517500</v>
      </c>
    </row>
    <row r="16" spans="1:16" s="138" customFormat="1" ht="110.1" customHeight="1" x14ac:dyDescent="0.2">
      <c r="A16" s="139">
        <v>8</v>
      </c>
      <c r="B16" s="140" t="s">
        <v>296</v>
      </c>
      <c r="C16" s="142" t="s">
        <v>300</v>
      </c>
      <c r="D16" s="141" t="s">
        <v>301</v>
      </c>
      <c r="E16" s="143" t="s">
        <v>302</v>
      </c>
      <c r="F16" s="143" t="s">
        <v>117</v>
      </c>
      <c r="G16" s="134" t="s">
        <v>303</v>
      </c>
      <c r="H16" s="144" t="s">
        <v>304</v>
      </c>
      <c r="I16" s="137">
        <v>24000</v>
      </c>
      <c r="J16" s="137">
        <v>1200</v>
      </c>
      <c r="K16" s="137">
        <v>1200</v>
      </c>
      <c r="L16" s="137">
        <v>0</v>
      </c>
      <c r="M16" s="137">
        <v>0</v>
      </c>
      <c r="N16" s="137">
        <v>0</v>
      </c>
      <c r="O16" s="137">
        <f t="shared" si="1"/>
        <v>21600</v>
      </c>
    </row>
    <row r="17" spans="1:15" s="138" customFormat="1" ht="165" customHeight="1" x14ac:dyDescent="0.2">
      <c r="A17" s="139">
        <v>9</v>
      </c>
      <c r="B17" s="140" t="s">
        <v>296</v>
      </c>
      <c r="C17" s="142" t="s">
        <v>305</v>
      </c>
      <c r="D17" s="142" t="s">
        <v>306</v>
      </c>
      <c r="E17" s="143" t="s">
        <v>307</v>
      </c>
      <c r="F17" s="143" t="s">
        <v>308</v>
      </c>
      <c r="G17" s="143" t="s">
        <v>309</v>
      </c>
      <c r="H17" s="144" t="s">
        <v>310</v>
      </c>
      <c r="I17" s="137">
        <v>350000</v>
      </c>
      <c r="J17" s="137">
        <v>0</v>
      </c>
      <c r="K17" s="137">
        <v>0</v>
      </c>
      <c r="L17" s="137">
        <v>0</v>
      </c>
      <c r="M17" s="137">
        <v>0</v>
      </c>
      <c r="N17" s="145" t="s">
        <v>311</v>
      </c>
      <c r="O17" s="137">
        <f t="shared" si="1"/>
        <v>350000</v>
      </c>
    </row>
    <row r="18" spans="1:15" s="138" customFormat="1" ht="90" customHeight="1" x14ac:dyDescent="0.2">
      <c r="A18" s="139">
        <v>10</v>
      </c>
      <c r="B18" s="140" t="s">
        <v>312</v>
      </c>
      <c r="C18" s="142" t="s">
        <v>313</v>
      </c>
      <c r="D18" s="141" t="s">
        <v>314</v>
      </c>
      <c r="E18" s="143" t="s">
        <v>115</v>
      </c>
      <c r="F18" s="143" t="s">
        <v>117</v>
      </c>
      <c r="G18" s="134" t="s">
        <v>315</v>
      </c>
      <c r="H18" s="135" t="s">
        <v>274</v>
      </c>
      <c r="I18" s="137">
        <v>218000</v>
      </c>
      <c r="J18" s="137">
        <v>10900</v>
      </c>
      <c r="K18" s="137">
        <v>10900</v>
      </c>
      <c r="L18" s="137">
        <v>0</v>
      </c>
      <c r="M18" s="137">
        <v>0</v>
      </c>
      <c r="N18" s="137">
        <v>0</v>
      </c>
      <c r="O18" s="137">
        <f t="shared" si="1"/>
        <v>196200</v>
      </c>
    </row>
    <row r="19" spans="1:15" s="138" customFormat="1" ht="90" customHeight="1" x14ac:dyDescent="0.2">
      <c r="A19" s="139">
        <v>11</v>
      </c>
      <c r="B19" s="140" t="s">
        <v>312</v>
      </c>
      <c r="C19" s="132" t="s">
        <v>316</v>
      </c>
      <c r="D19" s="141" t="s">
        <v>317</v>
      </c>
      <c r="E19" s="134" t="s">
        <v>115</v>
      </c>
      <c r="F19" s="134" t="s">
        <v>117</v>
      </c>
      <c r="G19" s="134" t="s">
        <v>318</v>
      </c>
      <c r="H19" s="135" t="s">
        <v>274</v>
      </c>
      <c r="I19" s="137">
        <v>25000</v>
      </c>
      <c r="J19" s="137">
        <v>1250</v>
      </c>
      <c r="K19" s="137">
        <v>1250</v>
      </c>
      <c r="L19" s="137">
        <v>0</v>
      </c>
      <c r="M19" s="137">
        <v>0</v>
      </c>
      <c r="N19" s="137">
        <v>0</v>
      </c>
      <c r="O19" s="137">
        <f t="shared" si="1"/>
        <v>22500</v>
      </c>
    </row>
    <row r="20" spans="1:15" s="138" customFormat="1" ht="90" customHeight="1" x14ac:dyDescent="0.2">
      <c r="A20" s="139">
        <v>12</v>
      </c>
      <c r="B20" s="140" t="s">
        <v>319</v>
      </c>
      <c r="C20" s="142" t="s">
        <v>320</v>
      </c>
      <c r="D20" s="141" t="s">
        <v>321</v>
      </c>
      <c r="E20" s="143" t="s">
        <v>115</v>
      </c>
      <c r="F20" s="143" t="s">
        <v>117</v>
      </c>
      <c r="G20" s="134" t="s">
        <v>322</v>
      </c>
      <c r="H20" s="135" t="s">
        <v>274</v>
      </c>
      <c r="I20" s="137">
        <v>363000</v>
      </c>
      <c r="J20" s="137">
        <v>18150</v>
      </c>
      <c r="K20" s="137">
        <v>18150</v>
      </c>
      <c r="L20" s="137">
        <v>0</v>
      </c>
      <c r="M20" s="137">
        <v>0</v>
      </c>
      <c r="N20" s="137">
        <v>0</v>
      </c>
      <c r="O20" s="137">
        <f t="shared" si="1"/>
        <v>326700</v>
      </c>
    </row>
    <row r="21" spans="1:15" s="138" customFormat="1" ht="90" customHeight="1" x14ac:dyDescent="0.2">
      <c r="A21" s="139">
        <v>13</v>
      </c>
      <c r="B21" s="140" t="s">
        <v>323</v>
      </c>
      <c r="C21" s="132" t="s">
        <v>324</v>
      </c>
      <c r="D21" s="133" t="s">
        <v>325</v>
      </c>
      <c r="E21" s="134" t="s">
        <v>115</v>
      </c>
      <c r="F21" s="134" t="s">
        <v>117</v>
      </c>
      <c r="G21" s="134" t="s">
        <v>326</v>
      </c>
      <c r="H21" s="135" t="s">
        <v>274</v>
      </c>
      <c r="I21" s="137">
        <v>115000</v>
      </c>
      <c r="J21" s="137">
        <v>5750</v>
      </c>
      <c r="K21" s="137">
        <v>5750</v>
      </c>
      <c r="L21" s="137">
        <v>0</v>
      </c>
      <c r="M21" s="137">
        <v>0</v>
      </c>
      <c r="N21" s="137">
        <v>0</v>
      </c>
      <c r="O21" s="137">
        <f t="shared" si="1"/>
        <v>103500</v>
      </c>
    </row>
    <row r="22" spans="1:15" s="138" customFormat="1" ht="150" customHeight="1" x14ac:dyDescent="0.2">
      <c r="A22" s="139">
        <v>14</v>
      </c>
      <c r="B22" s="140" t="s">
        <v>327</v>
      </c>
      <c r="C22" s="132" t="s">
        <v>328</v>
      </c>
      <c r="D22" s="133" t="s">
        <v>329</v>
      </c>
      <c r="E22" s="134" t="s">
        <v>121</v>
      </c>
      <c r="F22" s="134" t="s">
        <v>161</v>
      </c>
      <c r="G22" s="134" t="s">
        <v>330</v>
      </c>
      <c r="H22" s="135" t="s">
        <v>331</v>
      </c>
      <c r="I22" s="137">
        <v>116000</v>
      </c>
      <c r="J22" s="137">
        <v>0</v>
      </c>
      <c r="K22" s="137">
        <v>0</v>
      </c>
      <c r="L22" s="137">
        <v>0</v>
      </c>
      <c r="M22" s="137">
        <v>0</v>
      </c>
      <c r="N22" s="145" t="s">
        <v>311</v>
      </c>
      <c r="O22" s="137">
        <f t="shared" si="1"/>
        <v>116000</v>
      </c>
    </row>
    <row r="23" spans="1:15" s="138" customFormat="1" ht="216" customHeight="1" x14ac:dyDescent="0.2">
      <c r="A23" s="139">
        <v>15</v>
      </c>
      <c r="B23" s="140" t="s">
        <v>332</v>
      </c>
      <c r="C23" s="132" t="s">
        <v>333</v>
      </c>
      <c r="D23" s="133" t="s">
        <v>334</v>
      </c>
      <c r="E23" s="134" t="s">
        <v>335</v>
      </c>
      <c r="F23" s="134" t="s">
        <v>19</v>
      </c>
      <c r="G23" s="134" t="s">
        <v>336</v>
      </c>
      <c r="H23" s="135" t="s">
        <v>337</v>
      </c>
      <c r="I23" s="137">
        <v>190000</v>
      </c>
      <c r="J23" s="137">
        <v>9500</v>
      </c>
      <c r="K23" s="137">
        <v>9500</v>
      </c>
      <c r="L23" s="137">
        <v>0</v>
      </c>
      <c r="M23" s="137">
        <v>0</v>
      </c>
      <c r="N23" s="137">
        <v>0</v>
      </c>
      <c r="O23" s="137">
        <f t="shared" si="1"/>
        <v>171000</v>
      </c>
    </row>
    <row r="24" spans="1:15" s="138" customFormat="1" ht="114.95" customHeight="1" x14ac:dyDescent="0.2">
      <c r="A24" s="139">
        <v>16</v>
      </c>
      <c r="B24" s="140" t="s">
        <v>338</v>
      </c>
      <c r="C24" s="132" t="s">
        <v>339</v>
      </c>
      <c r="D24" s="133" t="s">
        <v>340</v>
      </c>
      <c r="E24" s="134" t="s">
        <v>159</v>
      </c>
      <c r="F24" s="134" t="s">
        <v>161</v>
      </c>
      <c r="G24" s="134" t="s">
        <v>341</v>
      </c>
      <c r="H24" s="135" t="s">
        <v>342</v>
      </c>
      <c r="I24" s="137">
        <v>101500</v>
      </c>
      <c r="J24" s="137">
        <v>0</v>
      </c>
      <c r="K24" s="137">
        <v>0</v>
      </c>
      <c r="L24" s="137">
        <v>0</v>
      </c>
      <c r="M24" s="137">
        <v>0</v>
      </c>
      <c r="N24" s="145" t="s">
        <v>311</v>
      </c>
      <c r="O24" s="137">
        <f t="shared" si="1"/>
        <v>101500</v>
      </c>
    </row>
    <row r="25" spans="1:15" s="138" customFormat="1" ht="90" customHeight="1" x14ac:dyDescent="0.2">
      <c r="A25" s="139">
        <v>17</v>
      </c>
      <c r="B25" s="140" t="s">
        <v>338</v>
      </c>
      <c r="C25" s="132" t="s">
        <v>343</v>
      </c>
      <c r="D25" s="133" t="s">
        <v>344</v>
      </c>
      <c r="E25" s="134" t="s">
        <v>115</v>
      </c>
      <c r="F25" s="134" t="s">
        <v>117</v>
      </c>
      <c r="G25" s="134" t="s">
        <v>345</v>
      </c>
      <c r="H25" s="135" t="s">
        <v>274</v>
      </c>
      <c r="I25" s="137">
        <v>182000</v>
      </c>
      <c r="J25" s="137">
        <v>9100</v>
      </c>
      <c r="K25" s="137">
        <v>9100</v>
      </c>
      <c r="L25" s="137">
        <v>0</v>
      </c>
      <c r="M25" s="137">
        <v>0</v>
      </c>
      <c r="N25" s="137">
        <v>0</v>
      </c>
      <c r="O25" s="137">
        <f t="shared" si="1"/>
        <v>163800</v>
      </c>
    </row>
    <row r="26" spans="1:15" s="138" customFormat="1" ht="90" customHeight="1" x14ac:dyDescent="0.2">
      <c r="A26" s="139">
        <v>18</v>
      </c>
      <c r="B26" s="140" t="s">
        <v>346</v>
      </c>
      <c r="C26" s="132" t="s">
        <v>347</v>
      </c>
      <c r="D26" s="133" t="s">
        <v>348</v>
      </c>
      <c r="E26" s="134" t="s">
        <v>115</v>
      </c>
      <c r="F26" s="134" t="s">
        <v>117</v>
      </c>
      <c r="G26" s="134" t="s">
        <v>318</v>
      </c>
      <c r="H26" s="135" t="s">
        <v>274</v>
      </c>
      <c r="I26" s="137">
        <v>25000</v>
      </c>
      <c r="J26" s="137">
        <v>1250</v>
      </c>
      <c r="K26" s="137">
        <v>1250</v>
      </c>
      <c r="L26" s="137">
        <v>0</v>
      </c>
      <c r="M26" s="137">
        <v>0</v>
      </c>
      <c r="N26" s="137">
        <v>0</v>
      </c>
      <c r="O26" s="137">
        <f t="shared" si="1"/>
        <v>22500</v>
      </c>
    </row>
    <row r="27" spans="1:15" s="138" customFormat="1" ht="90" customHeight="1" x14ac:dyDescent="0.2">
      <c r="A27" s="139">
        <v>19</v>
      </c>
      <c r="B27" s="140" t="s">
        <v>349</v>
      </c>
      <c r="C27" s="132" t="s">
        <v>350</v>
      </c>
      <c r="D27" s="133" t="s">
        <v>351</v>
      </c>
      <c r="E27" s="134" t="s">
        <v>115</v>
      </c>
      <c r="F27" s="134" t="s">
        <v>117</v>
      </c>
      <c r="G27" s="134" t="s">
        <v>318</v>
      </c>
      <c r="H27" s="135" t="s">
        <v>274</v>
      </c>
      <c r="I27" s="137">
        <v>25000</v>
      </c>
      <c r="J27" s="137">
        <v>1250</v>
      </c>
      <c r="K27" s="137">
        <v>1250</v>
      </c>
      <c r="L27" s="137">
        <v>0</v>
      </c>
      <c r="M27" s="137">
        <v>0</v>
      </c>
      <c r="N27" s="137">
        <v>0</v>
      </c>
      <c r="O27" s="137">
        <f t="shared" si="1"/>
        <v>22500</v>
      </c>
    </row>
    <row r="28" spans="1:15" s="138" customFormat="1" ht="200.1" customHeight="1" x14ac:dyDescent="0.2">
      <c r="A28" s="139">
        <v>20</v>
      </c>
      <c r="B28" s="140" t="s">
        <v>349</v>
      </c>
      <c r="C28" s="132" t="s">
        <v>352</v>
      </c>
      <c r="D28" s="133" t="s">
        <v>353</v>
      </c>
      <c r="E28" s="134" t="s">
        <v>199</v>
      </c>
      <c r="F28" s="134" t="s">
        <v>19</v>
      </c>
      <c r="G28" s="134" t="s">
        <v>354</v>
      </c>
      <c r="H28" s="135" t="s">
        <v>355</v>
      </c>
      <c r="I28" s="137">
        <v>240000</v>
      </c>
      <c r="J28" s="137">
        <v>12000</v>
      </c>
      <c r="K28" s="137">
        <v>12000</v>
      </c>
      <c r="L28" s="137">
        <v>0</v>
      </c>
      <c r="M28" s="137">
        <v>0</v>
      </c>
      <c r="N28" s="137">
        <v>0</v>
      </c>
      <c r="O28" s="137">
        <f t="shared" si="1"/>
        <v>216000</v>
      </c>
    </row>
    <row r="29" spans="1:15" s="138" customFormat="1" ht="110.1" customHeight="1" x14ac:dyDescent="0.2">
      <c r="A29" s="139">
        <v>21</v>
      </c>
      <c r="B29" s="140" t="s">
        <v>356</v>
      </c>
      <c r="C29" s="132" t="s">
        <v>357</v>
      </c>
      <c r="D29" s="133" t="s">
        <v>358</v>
      </c>
      <c r="E29" s="134" t="s">
        <v>359</v>
      </c>
      <c r="F29" s="134" t="s">
        <v>360</v>
      </c>
      <c r="G29" s="134" t="s">
        <v>361</v>
      </c>
      <c r="H29" s="135" t="s">
        <v>362</v>
      </c>
      <c r="I29" s="137">
        <v>33000</v>
      </c>
      <c r="J29" s="137">
        <v>16500</v>
      </c>
      <c r="K29" s="137">
        <v>16500</v>
      </c>
      <c r="L29" s="137">
        <v>0</v>
      </c>
      <c r="M29" s="137">
        <v>0</v>
      </c>
      <c r="N29" s="137">
        <v>0</v>
      </c>
      <c r="O29" s="137">
        <f t="shared" si="1"/>
        <v>0</v>
      </c>
    </row>
    <row r="30" spans="1:15" s="138" customFormat="1" ht="90" customHeight="1" x14ac:dyDescent="0.2">
      <c r="A30" s="139">
        <v>22</v>
      </c>
      <c r="B30" s="140" t="s">
        <v>363</v>
      </c>
      <c r="C30" s="132" t="s">
        <v>364</v>
      </c>
      <c r="D30" s="133" t="s">
        <v>365</v>
      </c>
      <c r="E30" s="134" t="s">
        <v>115</v>
      </c>
      <c r="F30" s="134" t="s">
        <v>117</v>
      </c>
      <c r="G30" s="134" t="s">
        <v>318</v>
      </c>
      <c r="H30" s="135" t="s">
        <v>274</v>
      </c>
      <c r="I30" s="137">
        <v>25000</v>
      </c>
      <c r="J30" s="137">
        <v>1250</v>
      </c>
      <c r="K30" s="137">
        <v>1250</v>
      </c>
      <c r="L30" s="137">
        <v>0</v>
      </c>
      <c r="M30" s="137">
        <v>0</v>
      </c>
      <c r="N30" s="137">
        <v>0</v>
      </c>
      <c r="O30" s="137">
        <f t="shared" si="1"/>
        <v>22500</v>
      </c>
    </row>
    <row r="31" spans="1:15" s="138" customFormat="1" ht="110.1" customHeight="1" x14ac:dyDescent="0.2">
      <c r="A31" s="139">
        <v>23</v>
      </c>
      <c r="B31" s="140" t="s">
        <v>366</v>
      </c>
      <c r="C31" s="133" t="s">
        <v>367</v>
      </c>
      <c r="D31" s="133" t="s">
        <v>368</v>
      </c>
      <c r="E31" s="134" t="s">
        <v>199</v>
      </c>
      <c r="F31" s="134" t="s">
        <v>19</v>
      </c>
      <c r="G31" s="134" t="s">
        <v>369</v>
      </c>
      <c r="H31" s="135" t="s">
        <v>370</v>
      </c>
      <c r="I31" s="137">
        <f>18000+30000</f>
        <v>48000</v>
      </c>
      <c r="J31" s="137">
        <f>900+1500</f>
        <v>2400</v>
      </c>
      <c r="K31" s="137">
        <f>900+1500</f>
        <v>2400</v>
      </c>
      <c r="L31" s="137">
        <v>0</v>
      </c>
      <c r="M31" s="137">
        <v>0</v>
      </c>
      <c r="N31" s="137">
        <v>0</v>
      </c>
      <c r="O31" s="137">
        <f t="shared" si="1"/>
        <v>43200</v>
      </c>
    </row>
    <row r="32" spans="1:15" s="138" customFormat="1" ht="129.94999999999999" customHeight="1" x14ac:dyDescent="0.2">
      <c r="A32" s="139">
        <v>24</v>
      </c>
      <c r="B32" s="140" t="s">
        <v>371</v>
      </c>
      <c r="C32" s="132" t="s">
        <v>372</v>
      </c>
      <c r="D32" s="133" t="s">
        <v>373</v>
      </c>
      <c r="E32" s="134" t="s">
        <v>374</v>
      </c>
      <c r="F32" s="134" t="s">
        <v>19</v>
      </c>
      <c r="G32" s="134" t="s">
        <v>369</v>
      </c>
      <c r="H32" s="135" t="s">
        <v>375</v>
      </c>
      <c r="I32" s="137">
        <v>8625</v>
      </c>
      <c r="J32" s="137">
        <v>431.25</v>
      </c>
      <c r="K32" s="137">
        <v>431.25</v>
      </c>
      <c r="L32" s="137">
        <v>0</v>
      </c>
      <c r="M32" s="137">
        <v>0</v>
      </c>
      <c r="N32" s="137">
        <v>0</v>
      </c>
      <c r="O32" s="137">
        <f t="shared" si="1"/>
        <v>7762.5</v>
      </c>
    </row>
    <row r="33" spans="1:15" s="138" customFormat="1" ht="114.95" customHeight="1" x14ac:dyDescent="0.2">
      <c r="A33" s="139">
        <v>25</v>
      </c>
      <c r="B33" s="140" t="s">
        <v>371</v>
      </c>
      <c r="C33" s="132" t="s">
        <v>376</v>
      </c>
      <c r="D33" s="133" t="s">
        <v>377</v>
      </c>
      <c r="E33" s="134" t="s">
        <v>335</v>
      </c>
      <c r="F33" s="134" t="s">
        <v>19</v>
      </c>
      <c r="G33" s="134" t="s">
        <v>378</v>
      </c>
      <c r="H33" s="135" t="s">
        <v>379</v>
      </c>
      <c r="I33" s="137">
        <v>285000</v>
      </c>
      <c r="J33" s="137">
        <v>14250</v>
      </c>
      <c r="K33" s="137">
        <v>14250</v>
      </c>
      <c r="L33" s="137">
        <v>0</v>
      </c>
      <c r="M33" s="137">
        <v>0</v>
      </c>
      <c r="N33" s="137">
        <v>0</v>
      </c>
      <c r="O33" s="137">
        <f t="shared" si="1"/>
        <v>256500</v>
      </c>
    </row>
    <row r="34" spans="1:15" s="138" customFormat="1" ht="178.5" customHeight="1" x14ac:dyDescent="0.2">
      <c r="A34" s="139">
        <v>26</v>
      </c>
      <c r="B34" s="140" t="s">
        <v>380</v>
      </c>
      <c r="C34" s="133" t="s">
        <v>381</v>
      </c>
      <c r="D34" s="133" t="s">
        <v>382</v>
      </c>
      <c r="E34" s="134" t="s">
        <v>181</v>
      </c>
      <c r="F34" s="134" t="s">
        <v>383</v>
      </c>
      <c r="G34" s="134" t="s">
        <v>361</v>
      </c>
      <c r="H34" s="135" t="s">
        <v>384</v>
      </c>
      <c r="I34" s="137">
        <v>38000</v>
      </c>
      <c r="J34" s="137">
        <v>19000</v>
      </c>
      <c r="K34" s="137">
        <v>19000</v>
      </c>
      <c r="L34" s="137">
        <v>0</v>
      </c>
      <c r="M34" s="137">
        <v>0</v>
      </c>
      <c r="N34" s="137">
        <v>0</v>
      </c>
      <c r="O34" s="137">
        <f t="shared" si="1"/>
        <v>0</v>
      </c>
    </row>
    <row r="35" spans="1:15" s="138" customFormat="1" ht="110.1" customHeight="1" x14ac:dyDescent="0.2">
      <c r="A35" s="139">
        <v>27</v>
      </c>
      <c r="B35" s="140" t="s">
        <v>385</v>
      </c>
      <c r="C35" s="133" t="s">
        <v>386</v>
      </c>
      <c r="D35" s="133" t="s">
        <v>387</v>
      </c>
      <c r="E35" s="134" t="s">
        <v>388</v>
      </c>
      <c r="F35" s="134" t="s">
        <v>19</v>
      </c>
      <c r="G35" s="134" t="s">
        <v>389</v>
      </c>
      <c r="H35" s="135" t="s">
        <v>390</v>
      </c>
      <c r="I35" s="137">
        <v>133000</v>
      </c>
      <c r="J35" s="137">
        <v>0</v>
      </c>
      <c r="K35" s="137">
        <v>0</v>
      </c>
      <c r="L35" s="137">
        <v>0</v>
      </c>
      <c r="M35" s="137">
        <v>0</v>
      </c>
      <c r="N35" s="137">
        <v>0</v>
      </c>
      <c r="O35" s="137">
        <f t="shared" si="1"/>
        <v>133000</v>
      </c>
    </row>
    <row r="36" spans="1:15" s="138" customFormat="1" ht="114.95" customHeight="1" x14ac:dyDescent="0.2">
      <c r="A36" s="139">
        <v>28</v>
      </c>
      <c r="B36" s="140" t="s">
        <v>391</v>
      </c>
      <c r="C36" s="132" t="s">
        <v>392</v>
      </c>
      <c r="D36" s="133" t="s">
        <v>393</v>
      </c>
      <c r="E36" s="134" t="s">
        <v>115</v>
      </c>
      <c r="F36" s="134" t="s">
        <v>117</v>
      </c>
      <c r="G36" s="134" t="s">
        <v>394</v>
      </c>
      <c r="H36" s="135" t="s">
        <v>395</v>
      </c>
      <c r="I36" s="137">
        <v>1000</v>
      </c>
      <c r="J36" s="137">
        <v>0</v>
      </c>
      <c r="K36" s="137">
        <v>0</v>
      </c>
      <c r="L36" s="137">
        <v>0</v>
      </c>
      <c r="M36" s="137">
        <v>0</v>
      </c>
      <c r="N36" s="145" t="s">
        <v>311</v>
      </c>
      <c r="O36" s="137">
        <f t="shared" si="1"/>
        <v>1000</v>
      </c>
    </row>
    <row r="37" spans="1:15" s="138" customFormat="1" ht="216" customHeight="1" x14ac:dyDescent="0.2">
      <c r="A37" s="139">
        <v>29</v>
      </c>
      <c r="B37" s="140" t="s">
        <v>396</v>
      </c>
      <c r="C37" s="133" t="s">
        <v>397</v>
      </c>
      <c r="D37" s="133" t="s">
        <v>398</v>
      </c>
      <c r="E37" s="134" t="s">
        <v>199</v>
      </c>
      <c r="F37" s="134" t="s">
        <v>19</v>
      </c>
      <c r="G37" s="134" t="s">
        <v>399</v>
      </c>
      <c r="H37" s="135" t="s">
        <v>400</v>
      </c>
      <c r="I37" s="137">
        <v>960000</v>
      </c>
      <c r="J37" s="137">
        <v>48000</v>
      </c>
      <c r="K37" s="137">
        <v>48000</v>
      </c>
      <c r="L37" s="137">
        <v>0</v>
      </c>
      <c r="M37" s="137">
        <v>0</v>
      </c>
      <c r="N37" s="137">
        <v>0</v>
      </c>
      <c r="O37" s="137">
        <f t="shared" si="1"/>
        <v>864000</v>
      </c>
    </row>
    <row r="38" spans="1:15" s="138" customFormat="1" ht="129.94999999999999" customHeight="1" x14ac:dyDescent="0.2">
      <c r="A38" s="139">
        <v>30</v>
      </c>
      <c r="B38" s="140" t="s">
        <v>401</v>
      </c>
      <c r="C38" s="132" t="s">
        <v>402</v>
      </c>
      <c r="D38" s="133" t="s">
        <v>403</v>
      </c>
      <c r="E38" s="134" t="s">
        <v>404</v>
      </c>
      <c r="F38" s="134" t="s">
        <v>161</v>
      </c>
      <c r="G38" s="134" t="s">
        <v>405</v>
      </c>
      <c r="H38" s="135" t="s">
        <v>406</v>
      </c>
      <c r="I38" s="137">
        <v>787730.12</v>
      </c>
      <c r="J38" s="137">
        <v>39386.5</v>
      </c>
      <c r="K38" s="137">
        <v>39386.5</v>
      </c>
      <c r="L38" s="137">
        <v>0</v>
      </c>
      <c r="M38" s="137">
        <v>0</v>
      </c>
      <c r="N38" s="137">
        <v>0</v>
      </c>
      <c r="O38" s="137">
        <f t="shared" si="1"/>
        <v>708957.12</v>
      </c>
    </row>
    <row r="39" spans="1:15" s="138" customFormat="1" ht="210.95" customHeight="1" x14ac:dyDescent="0.2">
      <c r="A39" s="139">
        <v>31</v>
      </c>
      <c r="B39" s="140" t="s">
        <v>407</v>
      </c>
      <c r="C39" s="132" t="s">
        <v>408</v>
      </c>
      <c r="D39" s="133" t="s">
        <v>409</v>
      </c>
      <c r="E39" s="134" t="s">
        <v>335</v>
      </c>
      <c r="F39" s="134" t="s">
        <v>19</v>
      </c>
      <c r="G39" s="134" t="s">
        <v>336</v>
      </c>
      <c r="H39" s="135" t="s">
        <v>410</v>
      </c>
      <c r="I39" s="137">
        <v>190000</v>
      </c>
      <c r="J39" s="137">
        <v>9500</v>
      </c>
      <c r="K39" s="137">
        <v>9500</v>
      </c>
      <c r="L39" s="137">
        <v>0</v>
      </c>
      <c r="M39" s="137">
        <v>0</v>
      </c>
      <c r="N39" s="137">
        <v>0</v>
      </c>
      <c r="O39" s="137">
        <f t="shared" si="1"/>
        <v>171000</v>
      </c>
    </row>
    <row r="40" spans="1:15" s="138" customFormat="1" ht="93.95" customHeight="1" x14ac:dyDescent="0.2">
      <c r="A40" s="139">
        <v>32</v>
      </c>
      <c r="B40" s="140" t="s">
        <v>411</v>
      </c>
      <c r="C40" s="133" t="s">
        <v>412</v>
      </c>
      <c r="D40" s="133" t="s">
        <v>413</v>
      </c>
      <c r="E40" s="134" t="s">
        <v>115</v>
      </c>
      <c r="F40" s="134" t="s">
        <v>117</v>
      </c>
      <c r="G40" s="134" t="s">
        <v>318</v>
      </c>
      <c r="H40" s="135" t="s">
        <v>274</v>
      </c>
      <c r="I40" s="137">
        <v>10000</v>
      </c>
      <c r="J40" s="137">
        <v>500</v>
      </c>
      <c r="K40" s="137">
        <v>500</v>
      </c>
      <c r="L40" s="137">
        <v>0</v>
      </c>
      <c r="M40" s="137">
        <v>0</v>
      </c>
      <c r="N40" s="137">
        <v>0</v>
      </c>
      <c r="O40" s="137">
        <f t="shared" si="1"/>
        <v>9000</v>
      </c>
    </row>
    <row r="41" spans="1:15" s="138" customFormat="1" ht="129.94999999999999" customHeight="1" x14ac:dyDescent="0.2">
      <c r="A41" s="139">
        <v>33</v>
      </c>
      <c r="B41" s="140" t="s">
        <v>414</v>
      </c>
      <c r="C41" s="132" t="s">
        <v>415</v>
      </c>
      <c r="D41" s="133" t="s">
        <v>416</v>
      </c>
      <c r="E41" s="134" t="s">
        <v>404</v>
      </c>
      <c r="F41" s="134" t="s">
        <v>161</v>
      </c>
      <c r="G41" s="134" t="s">
        <v>405</v>
      </c>
      <c r="H41" s="135" t="s">
        <v>417</v>
      </c>
      <c r="I41" s="137">
        <v>1969325.3</v>
      </c>
      <c r="J41" s="137">
        <v>98466.25</v>
      </c>
      <c r="K41" s="137">
        <v>98466.25</v>
      </c>
      <c r="L41" s="137">
        <v>0</v>
      </c>
      <c r="M41" s="137">
        <v>0</v>
      </c>
      <c r="N41" s="137">
        <v>0</v>
      </c>
      <c r="O41" s="137">
        <f t="shared" si="1"/>
        <v>1772392.8</v>
      </c>
    </row>
    <row r="42" spans="1:15" s="138" customFormat="1" ht="93.95" customHeight="1" x14ac:dyDescent="0.2">
      <c r="A42" s="139">
        <v>34</v>
      </c>
      <c r="B42" s="140" t="s">
        <v>418</v>
      </c>
      <c r="C42" s="133" t="s">
        <v>419</v>
      </c>
      <c r="D42" s="133" t="s">
        <v>420</v>
      </c>
      <c r="E42" s="134" t="s">
        <v>115</v>
      </c>
      <c r="F42" s="134" t="s">
        <v>117</v>
      </c>
      <c r="G42" s="134" t="s">
        <v>318</v>
      </c>
      <c r="H42" s="135" t="s">
        <v>421</v>
      </c>
      <c r="I42" s="137">
        <v>25000</v>
      </c>
      <c r="J42" s="137">
        <v>1250</v>
      </c>
      <c r="K42" s="137">
        <v>1250</v>
      </c>
      <c r="L42" s="137">
        <v>0</v>
      </c>
      <c r="M42" s="137">
        <v>0</v>
      </c>
      <c r="N42" s="137">
        <v>0</v>
      </c>
      <c r="O42" s="137">
        <f t="shared" si="1"/>
        <v>22500</v>
      </c>
    </row>
    <row r="43" spans="1:15" s="138" customFormat="1" ht="216" customHeight="1" x14ac:dyDescent="0.2">
      <c r="A43" s="139">
        <v>35</v>
      </c>
      <c r="B43" s="140" t="s">
        <v>422</v>
      </c>
      <c r="C43" s="132" t="s">
        <v>423</v>
      </c>
      <c r="D43" s="133" t="s">
        <v>424</v>
      </c>
      <c r="E43" s="134" t="s">
        <v>335</v>
      </c>
      <c r="F43" s="134" t="s">
        <v>19</v>
      </c>
      <c r="G43" s="134" t="s">
        <v>336</v>
      </c>
      <c r="H43" s="135" t="s">
        <v>425</v>
      </c>
      <c r="I43" s="137">
        <v>190000</v>
      </c>
      <c r="J43" s="137">
        <v>9500</v>
      </c>
      <c r="K43" s="137">
        <v>9500</v>
      </c>
      <c r="L43" s="137">
        <v>0</v>
      </c>
      <c r="M43" s="137">
        <v>0</v>
      </c>
      <c r="N43" s="137">
        <v>0</v>
      </c>
      <c r="O43" s="137">
        <f t="shared" si="1"/>
        <v>171000</v>
      </c>
    </row>
    <row r="44" spans="1:15" s="138" customFormat="1" ht="129.94999999999999" customHeight="1" x14ac:dyDescent="0.2">
      <c r="A44" s="139">
        <v>36</v>
      </c>
      <c r="B44" s="140" t="s">
        <v>426</v>
      </c>
      <c r="C44" s="132" t="s">
        <v>427</v>
      </c>
      <c r="D44" s="133" t="s">
        <v>428</v>
      </c>
      <c r="E44" s="134" t="s">
        <v>404</v>
      </c>
      <c r="F44" s="134" t="s">
        <v>161</v>
      </c>
      <c r="G44" s="134" t="s">
        <v>405</v>
      </c>
      <c r="H44" s="135" t="s">
        <v>429</v>
      </c>
      <c r="I44" s="137">
        <v>1181595.18</v>
      </c>
      <c r="J44" s="137">
        <v>59079.75</v>
      </c>
      <c r="K44" s="137">
        <v>59079.75</v>
      </c>
      <c r="L44" s="137"/>
      <c r="M44" s="137"/>
      <c r="N44" s="137"/>
      <c r="O44" s="137">
        <f t="shared" si="1"/>
        <v>1063435.68</v>
      </c>
    </row>
    <row r="45" spans="1:15" s="138" customFormat="1" ht="110.1" customHeight="1" x14ac:dyDescent="0.2">
      <c r="A45" s="139">
        <v>37</v>
      </c>
      <c r="B45" s="140" t="s">
        <v>430</v>
      </c>
      <c r="C45" s="132" t="s">
        <v>431</v>
      </c>
      <c r="D45" s="133" t="s">
        <v>432</v>
      </c>
      <c r="E45" s="134" t="s">
        <v>388</v>
      </c>
      <c r="F45" s="134" t="s">
        <v>19</v>
      </c>
      <c r="G45" s="134" t="s">
        <v>389</v>
      </c>
      <c r="H45" s="135" t="s">
        <v>390</v>
      </c>
      <c r="I45" s="137">
        <v>213845</v>
      </c>
      <c r="J45" s="137"/>
      <c r="K45" s="137"/>
      <c r="L45" s="137"/>
      <c r="M45" s="137"/>
      <c r="N45" s="137"/>
      <c r="O45" s="137">
        <f t="shared" si="1"/>
        <v>213845</v>
      </c>
    </row>
    <row r="46" spans="1:15" s="138" customFormat="1" ht="95.1" customHeight="1" x14ac:dyDescent="0.2">
      <c r="A46" s="139">
        <v>38</v>
      </c>
      <c r="B46" s="140" t="s">
        <v>433</v>
      </c>
      <c r="C46" s="132" t="s">
        <v>434</v>
      </c>
      <c r="D46" s="133" t="s">
        <v>435</v>
      </c>
      <c r="E46" s="134" t="s">
        <v>115</v>
      </c>
      <c r="F46" s="134" t="s">
        <v>117</v>
      </c>
      <c r="G46" s="134" t="s">
        <v>318</v>
      </c>
      <c r="H46" s="135" t="s">
        <v>274</v>
      </c>
      <c r="I46" s="137">
        <v>25000</v>
      </c>
      <c r="J46" s="137">
        <v>1250</v>
      </c>
      <c r="K46" s="137">
        <v>1250</v>
      </c>
      <c r="L46" s="137"/>
      <c r="M46" s="137"/>
      <c r="N46" s="137"/>
      <c r="O46" s="137">
        <f t="shared" si="1"/>
        <v>22500</v>
      </c>
    </row>
    <row r="47" spans="1:15" s="138" customFormat="1" ht="144" customHeight="1" x14ac:dyDescent="0.2">
      <c r="A47" s="139">
        <v>39</v>
      </c>
      <c r="B47" s="140">
        <v>241687</v>
      </c>
      <c r="C47" s="132" t="s">
        <v>436</v>
      </c>
      <c r="D47" s="133" t="s">
        <v>437</v>
      </c>
      <c r="E47" s="134" t="s">
        <v>404</v>
      </c>
      <c r="F47" s="134" t="s">
        <v>161</v>
      </c>
      <c r="G47" s="134" t="s">
        <v>405</v>
      </c>
      <c r="H47" s="135" t="s">
        <v>438</v>
      </c>
      <c r="I47" s="137">
        <v>207297.4</v>
      </c>
      <c r="J47" s="137">
        <v>10364.870000000001</v>
      </c>
      <c r="K47" s="137">
        <v>10364.870000000001</v>
      </c>
      <c r="L47" s="137"/>
      <c r="M47" s="137"/>
      <c r="N47" s="137"/>
      <c r="O47" s="137">
        <f t="shared" si="1"/>
        <v>186567.66</v>
      </c>
    </row>
    <row r="48" spans="1:15" s="138" customFormat="1" ht="95.1" customHeight="1" x14ac:dyDescent="0.2">
      <c r="A48" s="139">
        <v>40</v>
      </c>
      <c r="B48" s="140">
        <v>241689</v>
      </c>
      <c r="C48" s="132" t="s">
        <v>439</v>
      </c>
      <c r="D48" s="133" t="s">
        <v>440</v>
      </c>
      <c r="E48" s="134" t="s">
        <v>115</v>
      </c>
      <c r="F48" s="134" t="s">
        <v>117</v>
      </c>
      <c r="G48" s="134" t="s">
        <v>441</v>
      </c>
      <c r="H48" s="135" t="s">
        <v>421</v>
      </c>
      <c r="I48" s="137">
        <v>60000</v>
      </c>
      <c r="J48" s="137">
        <v>3000</v>
      </c>
      <c r="K48" s="137">
        <v>3000</v>
      </c>
      <c r="L48" s="137"/>
      <c r="M48" s="137"/>
      <c r="N48" s="137"/>
      <c r="O48" s="137">
        <f t="shared" si="1"/>
        <v>54000</v>
      </c>
    </row>
    <row r="49" spans="1:15" s="138" customFormat="1" ht="95.1" customHeight="1" x14ac:dyDescent="0.2">
      <c r="A49" s="139">
        <v>41</v>
      </c>
      <c r="B49" s="140">
        <v>241691</v>
      </c>
      <c r="C49" s="132" t="s">
        <v>442</v>
      </c>
      <c r="D49" s="133" t="s">
        <v>443</v>
      </c>
      <c r="E49" s="134" t="s">
        <v>115</v>
      </c>
      <c r="F49" s="134" t="s">
        <v>117</v>
      </c>
      <c r="G49" s="134" t="s">
        <v>444</v>
      </c>
      <c r="H49" s="135" t="s">
        <v>421</v>
      </c>
      <c r="I49" s="137">
        <v>128000</v>
      </c>
      <c r="J49" s="137">
        <v>6400</v>
      </c>
      <c r="K49" s="137">
        <v>6400</v>
      </c>
      <c r="L49" s="137"/>
      <c r="M49" s="137"/>
      <c r="N49" s="137"/>
      <c r="O49" s="137">
        <f t="shared" si="1"/>
        <v>115200</v>
      </c>
    </row>
    <row r="50" spans="1:15" s="138" customFormat="1" ht="95.1" customHeight="1" x14ac:dyDescent="0.2">
      <c r="A50" s="139">
        <v>42</v>
      </c>
      <c r="B50" s="140">
        <v>241697</v>
      </c>
      <c r="C50" s="132" t="s">
        <v>445</v>
      </c>
      <c r="D50" s="133" t="s">
        <v>446</v>
      </c>
      <c r="E50" s="134" t="s">
        <v>115</v>
      </c>
      <c r="F50" s="134" t="s">
        <v>117</v>
      </c>
      <c r="G50" s="134" t="s">
        <v>345</v>
      </c>
      <c r="H50" s="135" t="s">
        <v>421</v>
      </c>
      <c r="I50" s="137">
        <v>139000</v>
      </c>
      <c r="J50" s="137">
        <v>6950</v>
      </c>
      <c r="K50" s="137">
        <v>6950</v>
      </c>
      <c r="L50" s="137"/>
      <c r="M50" s="137"/>
      <c r="N50" s="137"/>
      <c r="O50" s="137">
        <f t="shared" si="1"/>
        <v>125100</v>
      </c>
    </row>
    <row r="51" spans="1:15" ht="20.100000000000001" customHeight="1" x14ac:dyDescent="0.3">
      <c r="A51" s="124" t="s">
        <v>447</v>
      </c>
      <c r="B51" s="125"/>
      <c r="C51" s="126"/>
      <c r="D51" s="126"/>
      <c r="E51" s="127"/>
      <c r="F51" s="128"/>
      <c r="G51" s="128"/>
      <c r="H51" s="128"/>
      <c r="I51" s="129">
        <f>SUM(I52:I65)</f>
        <v>2684918.98</v>
      </c>
      <c r="J51" s="129">
        <f t="shared" ref="J51:O51" si="2">SUM(J52:J65)</f>
        <v>110035.45</v>
      </c>
      <c r="K51" s="129">
        <f t="shared" si="2"/>
        <v>213902.95</v>
      </c>
      <c r="L51" s="129">
        <f t="shared" si="2"/>
        <v>105000</v>
      </c>
      <c r="M51" s="129">
        <f t="shared" si="2"/>
        <v>105000</v>
      </c>
      <c r="N51" s="129">
        <f t="shared" si="2"/>
        <v>0</v>
      </c>
      <c r="O51" s="129">
        <f t="shared" si="2"/>
        <v>2150980.58</v>
      </c>
    </row>
    <row r="52" spans="1:15" s="138" customFormat="1" ht="110.1" customHeight="1" x14ac:dyDescent="0.2">
      <c r="A52" s="139">
        <v>1</v>
      </c>
      <c r="B52" s="140" t="s">
        <v>448</v>
      </c>
      <c r="C52" s="142" t="s">
        <v>449</v>
      </c>
      <c r="D52" s="141" t="s">
        <v>450</v>
      </c>
      <c r="E52" s="143" t="s">
        <v>451</v>
      </c>
      <c r="F52" s="143" t="s">
        <v>22</v>
      </c>
      <c r="G52" s="143" t="s">
        <v>452</v>
      </c>
      <c r="H52" s="144" t="s">
        <v>453</v>
      </c>
      <c r="I52" s="137">
        <v>218680.63</v>
      </c>
      <c r="J52" s="137">
        <v>10934.03</v>
      </c>
      <c r="K52" s="137">
        <v>10934.03</v>
      </c>
      <c r="L52" s="137">
        <v>0</v>
      </c>
      <c r="M52" s="137">
        <v>0</v>
      </c>
      <c r="N52" s="137"/>
      <c r="O52" s="137">
        <f t="shared" si="1"/>
        <v>196812.57</v>
      </c>
    </row>
    <row r="53" spans="1:15" s="138" customFormat="1" ht="129.94999999999999" customHeight="1" x14ac:dyDescent="0.2">
      <c r="A53" s="139">
        <v>2</v>
      </c>
      <c r="B53" s="140" t="s">
        <v>454</v>
      </c>
      <c r="C53" s="142" t="s">
        <v>455</v>
      </c>
      <c r="D53" s="141" t="s">
        <v>456</v>
      </c>
      <c r="E53" s="143" t="s">
        <v>451</v>
      </c>
      <c r="F53" s="143" t="s">
        <v>22</v>
      </c>
      <c r="G53" s="143" t="s">
        <v>457</v>
      </c>
      <c r="H53" s="144" t="s">
        <v>458</v>
      </c>
      <c r="I53" s="137">
        <v>288000</v>
      </c>
      <c r="J53" s="137">
        <v>14400</v>
      </c>
      <c r="K53" s="137">
        <v>14400</v>
      </c>
      <c r="L53" s="137">
        <v>0</v>
      </c>
      <c r="M53" s="137">
        <v>0</v>
      </c>
      <c r="N53" s="137">
        <v>0</v>
      </c>
      <c r="O53" s="137">
        <f t="shared" si="1"/>
        <v>259200</v>
      </c>
    </row>
    <row r="54" spans="1:15" s="138" customFormat="1" ht="146.44999999999999" customHeight="1" x14ac:dyDescent="0.2">
      <c r="A54" s="139">
        <v>3</v>
      </c>
      <c r="B54" s="140" t="s">
        <v>385</v>
      </c>
      <c r="C54" s="132" t="s">
        <v>459</v>
      </c>
      <c r="D54" s="133" t="s">
        <v>460</v>
      </c>
      <c r="E54" s="134" t="s">
        <v>461</v>
      </c>
      <c r="F54" s="134" t="s">
        <v>22</v>
      </c>
      <c r="G54" s="134" t="s">
        <v>462</v>
      </c>
      <c r="H54" s="135" t="s">
        <v>463</v>
      </c>
      <c r="I54" s="137">
        <v>222000</v>
      </c>
      <c r="J54" s="137">
        <v>0</v>
      </c>
      <c r="K54" s="137">
        <v>0</v>
      </c>
      <c r="L54" s="137">
        <v>15000</v>
      </c>
      <c r="M54" s="137">
        <v>15000</v>
      </c>
      <c r="N54" s="137"/>
      <c r="O54" s="137">
        <f t="shared" si="1"/>
        <v>192000</v>
      </c>
    </row>
    <row r="55" spans="1:15" s="138" customFormat="1" ht="179.1" customHeight="1" x14ac:dyDescent="0.2">
      <c r="A55" s="139">
        <v>4</v>
      </c>
      <c r="B55" s="140" t="s">
        <v>464</v>
      </c>
      <c r="C55" s="132" t="s">
        <v>465</v>
      </c>
      <c r="D55" s="133" t="s">
        <v>466</v>
      </c>
      <c r="E55" s="134" t="s">
        <v>467</v>
      </c>
      <c r="F55" s="134" t="s">
        <v>22</v>
      </c>
      <c r="G55" s="134" t="s">
        <v>468</v>
      </c>
      <c r="H55" s="135" t="s">
        <v>469</v>
      </c>
      <c r="I55" s="137">
        <v>169490</v>
      </c>
      <c r="J55" s="137">
        <v>0</v>
      </c>
      <c r="K55" s="137">
        <v>0</v>
      </c>
      <c r="L55" s="137">
        <v>15000</v>
      </c>
      <c r="M55" s="137">
        <v>15000</v>
      </c>
      <c r="N55" s="137">
        <v>0</v>
      </c>
      <c r="O55" s="137">
        <f>+I55-J55-K55-L55-M55</f>
        <v>139490</v>
      </c>
    </row>
    <row r="56" spans="1:15" s="138" customFormat="1" ht="195.95" customHeight="1" x14ac:dyDescent="0.2">
      <c r="A56" s="139">
        <v>5</v>
      </c>
      <c r="B56" s="140" t="s">
        <v>464</v>
      </c>
      <c r="C56" s="133" t="s">
        <v>470</v>
      </c>
      <c r="D56" s="133" t="s">
        <v>471</v>
      </c>
      <c r="E56" s="134" t="s">
        <v>472</v>
      </c>
      <c r="F56" s="134" t="s">
        <v>22</v>
      </c>
      <c r="G56" s="134" t="s">
        <v>468</v>
      </c>
      <c r="H56" s="135" t="s">
        <v>473</v>
      </c>
      <c r="I56" s="137">
        <v>171160</v>
      </c>
      <c r="J56" s="137">
        <v>0</v>
      </c>
      <c r="K56" s="137">
        <v>0</v>
      </c>
      <c r="L56" s="137">
        <v>15000</v>
      </c>
      <c r="M56" s="137">
        <v>15000</v>
      </c>
      <c r="N56" s="137">
        <v>0</v>
      </c>
      <c r="O56" s="137">
        <f t="shared" ref="O56:O65" si="3">+I56-J56-K56-L56-M56</f>
        <v>141160</v>
      </c>
    </row>
    <row r="57" spans="1:15" s="138" customFormat="1" ht="164.1" customHeight="1" x14ac:dyDescent="0.2">
      <c r="A57" s="139">
        <v>6</v>
      </c>
      <c r="B57" s="140" t="s">
        <v>464</v>
      </c>
      <c r="C57" s="132" t="s">
        <v>470</v>
      </c>
      <c r="D57" s="133" t="s">
        <v>474</v>
      </c>
      <c r="E57" s="134" t="s">
        <v>475</v>
      </c>
      <c r="F57" s="134" t="s">
        <v>22</v>
      </c>
      <c r="G57" s="134" t="s">
        <v>468</v>
      </c>
      <c r="H57" s="135" t="s">
        <v>476</v>
      </c>
      <c r="I57" s="137">
        <v>190000</v>
      </c>
      <c r="J57" s="137">
        <v>0</v>
      </c>
      <c r="K57" s="137">
        <v>0</v>
      </c>
      <c r="L57" s="137">
        <v>15000</v>
      </c>
      <c r="M57" s="137">
        <v>15000</v>
      </c>
      <c r="N57" s="137">
        <v>0</v>
      </c>
      <c r="O57" s="137">
        <f t="shared" si="3"/>
        <v>160000</v>
      </c>
    </row>
    <row r="58" spans="1:15" s="138" customFormat="1" ht="110.1" customHeight="1" x14ac:dyDescent="0.2">
      <c r="A58" s="139">
        <v>7</v>
      </c>
      <c r="B58" s="140" t="s">
        <v>477</v>
      </c>
      <c r="C58" s="132" t="s">
        <v>478</v>
      </c>
      <c r="D58" s="133" t="s">
        <v>479</v>
      </c>
      <c r="E58" s="134" t="s">
        <v>451</v>
      </c>
      <c r="F58" s="134" t="s">
        <v>22</v>
      </c>
      <c r="G58" s="143" t="s">
        <v>452</v>
      </c>
      <c r="H58" s="144" t="s">
        <v>480</v>
      </c>
      <c r="I58" s="137">
        <v>210111.84</v>
      </c>
      <c r="J58" s="137">
        <v>10505.59</v>
      </c>
      <c r="K58" s="137">
        <v>10505.59</v>
      </c>
      <c r="L58" s="137">
        <v>0</v>
      </c>
      <c r="M58" s="137">
        <v>0</v>
      </c>
      <c r="N58" s="137">
        <v>0</v>
      </c>
      <c r="O58" s="137">
        <f t="shared" si="3"/>
        <v>189100.66</v>
      </c>
    </row>
    <row r="59" spans="1:15" s="138" customFormat="1" ht="110.1" customHeight="1" x14ac:dyDescent="0.2">
      <c r="A59" s="139">
        <v>8</v>
      </c>
      <c r="B59" s="140" t="s">
        <v>477</v>
      </c>
      <c r="C59" s="132" t="s">
        <v>481</v>
      </c>
      <c r="D59" s="133" t="s">
        <v>482</v>
      </c>
      <c r="E59" s="134" t="s">
        <v>451</v>
      </c>
      <c r="F59" s="134" t="s">
        <v>22</v>
      </c>
      <c r="G59" s="134" t="s">
        <v>483</v>
      </c>
      <c r="H59" s="135" t="s">
        <v>484</v>
      </c>
      <c r="I59" s="137">
        <v>368241.51</v>
      </c>
      <c r="J59" s="137">
        <v>18412.080000000002</v>
      </c>
      <c r="K59" s="137">
        <v>18412.080000000002</v>
      </c>
      <c r="L59" s="137">
        <v>0</v>
      </c>
      <c r="M59" s="137">
        <v>0</v>
      </c>
      <c r="N59" s="137">
        <v>0</v>
      </c>
      <c r="O59" s="137">
        <f t="shared" si="3"/>
        <v>331417.34999999998</v>
      </c>
    </row>
    <row r="60" spans="1:15" s="138" customFormat="1" ht="111.95" customHeight="1" x14ac:dyDescent="0.2">
      <c r="A60" s="139">
        <v>9</v>
      </c>
      <c r="B60" s="140" t="s">
        <v>485</v>
      </c>
      <c r="C60" s="132" t="s">
        <v>486</v>
      </c>
      <c r="D60" s="133" t="s">
        <v>487</v>
      </c>
      <c r="E60" s="134" t="s">
        <v>451</v>
      </c>
      <c r="F60" s="134" t="s">
        <v>22</v>
      </c>
      <c r="G60" s="143" t="s">
        <v>457</v>
      </c>
      <c r="H60" s="144" t="s">
        <v>488</v>
      </c>
      <c r="I60" s="137">
        <f>32000+45000</f>
        <v>77000</v>
      </c>
      <c r="J60" s="137">
        <v>3850</v>
      </c>
      <c r="K60" s="137">
        <v>3850</v>
      </c>
      <c r="L60" s="137">
        <v>0</v>
      </c>
      <c r="M60" s="137">
        <v>0</v>
      </c>
      <c r="N60" s="137">
        <v>0</v>
      </c>
      <c r="O60" s="137">
        <f t="shared" si="3"/>
        <v>69300</v>
      </c>
    </row>
    <row r="61" spans="1:15" s="138" customFormat="1" ht="150" customHeight="1" x14ac:dyDescent="0.2">
      <c r="A61" s="139">
        <v>10</v>
      </c>
      <c r="B61" s="140" t="s">
        <v>489</v>
      </c>
      <c r="C61" s="132" t="s">
        <v>490</v>
      </c>
      <c r="D61" s="133" t="s">
        <v>491</v>
      </c>
      <c r="E61" s="134" t="s">
        <v>492</v>
      </c>
      <c r="F61" s="134" t="s">
        <v>22</v>
      </c>
      <c r="G61" s="134" t="s">
        <v>493</v>
      </c>
      <c r="H61" s="135" t="s">
        <v>494</v>
      </c>
      <c r="I61" s="137">
        <v>175000</v>
      </c>
      <c r="J61" s="137">
        <v>0</v>
      </c>
      <c r="K61" s="137">
        <v>0</v>
      </c>
      <c r="L61" s="137">
        <v>15000</v>
      </c>
      <c r="M61" s="137">
        <v>15000</v>
      </c>
      <c r="N61" s="137">
        <v>0</v>
      </c>
      <c r="O61" s="137">
        <f t="shared" si="3"/>
        <v>145000</v>
      </c>
    </row>
    <row r="62" spans="1:15" s="138" customFormat="1" ht="114.95" customHeight="1" x14ac:dyDescent="0.2">
      <c r="A62" s="139">
        <v>11</v>
      </c>
      <c r="B62" s="140" t="s">
        <v>489</v>
      </c>
      <c r="C62" s="132" t="s">
        <v>495</v>
      </c>
      <c r="D62" s="133" t="s">
        <v>496</v>
      </c>
      <c r="E62" s="134" t="s">
        <v>497</v>
      </c>
      <c r="F62" s="134" t="s">
        <v>22</v>
      </c>
      <c r="G62" s="134" t="s">
        <v>493</v>
      </c>
      <c r="H62" s="135" t="s">
        <v>498</v>
      </c>
      <c r="I62" s="137">
        <v>190000</v>
      </c>
      <c r="J62" s="137">
        <v>0</v>
      </c>
      <c r="K62" s="137">
        <v>0</v>
      </c>
      <c r="L62" s="137">
        <v>15000</v>
      </c>
      <c r="M62" s="137">
        <v>15000</v>
      </c>
      <c r="N62" s="137">
        <v>0</v>
      </c>
      <c r="O62" s="137">
        <f t="shared" si="3"/>
        <v>160000</v>
      </c>
    </row>
    <row r="63" spans="1:15" s="138" customFormat="1" ht="114.95" customHeight="1" x14ac:dyDescent="0.2">
      <c r="A63" s="139">
        <v>12</v>
      </c>
      <c r="B63" s="140" t="s">
        <v>499</v>
      </c>
      <c r="C63" s="132" t="s">
        <v>500</v>
      </c>
      <c r="D63" s="133" t="s">
        <v>501</v>
      </c>
      <c r="E63" s="134" t="s">
        <v>170</v>
      </c>
      <c r="F63" s="134" t="s">
        <v>22</v>
      </c>
      <c r="G63" s="134" t="s">
        <v>502</v>
      </c>
      <c r="H63" s="135" t="s">
        <v>503</v>
      </c>
      <c r="I63" s="137">
        <v>19000</v>
      </c>
      <c r="J63" s="137"/>
      <c r="K63" s="137"/>
      <c r="L63" s="137"/>
      <c r="M63" s="137"/>
      <c r="N63" s="145"/>
      <c r="O63" s="137">
        <f t="shared" si="3"/>
        <v>19000</v>
      </c>
    </row>
    <row r="64" spans="1:15" s="138" customFormat="1" ht="200.1" customHeight="1" x14ac:dyDescent="0.2">
      <c r="A64" s="139">
        <v>13</v>
      </c>
      <c r="B64" s="140" t="s">
        <v>499</v>
      </c>
      <c r="C64" s="132" t="s">
        <v>504</v>
      </c>
      <c r="D64" s="133" t="s">
        <v>505</v>
      </c>
      <c r="E64" s="134" t="s">
        <v>506</v>
      </c>
      <c r="F64" s="134" t="s">
        <v>22</v>
      </c>
      <c r="G64" s="134" t="s">
        <v>507</v>
      </c>
      <c r="H64" s="135" t="s">
        <v>508</v>
      </c>
      <c r="I64" s="137">
        <v>207735</v>
      </c>
      <c r="J64" s="137">
        <v>51933.75</v>
      </c>
      <c r="K64" s="137">
        <v>155801.25</v>
      </c>
      <c r="L64" s="137"/>
      <c r="M64" s="137"/>
      <c r="N64" s="137"/>
      <c r="O64" s="137">
        <f t="shared" si="3"/>
        <v>0</v>
      </c>
    </row>
    <row r="65" spans="1:15" s="138" customFormat="1" ht="68.25" customHeight="1" x14ac:dyDescent="0.2">
      <c r="A65" s="139">
        <v>14</v>
      </c>
      <c r="B65" s="140">
        <v>241676</v>
      </c>
      <c r="C65" s="132" t="s">
        <v>509</v>
      </c>
      <c r="D65" s="133" t="s">
        <v>510</v>
      </c>
      <c r="E65" s="134" t="s">
        <v>511</v>
      </c>
      <c r="F65" s="134" t="s">
        <v>512</v>
      </c>
      <c r="G65" s="134" t="s">
        <v>513</v>
      </c>
      <c r="H65" s="135" t="s">
        <v>514</v>
      </c>
      <c r="I65" s="137">
        <v>178500</v>
      </c>
      <c r="J65" s="137"/>
      <c r="K65" s="137"/>
      <c r="L65" s="137">
        <v>15000</v>
      </c>
      <c r="M65" s="137">
        <v>15000</v>
      </c>
      <c r="N65" s="137"/>
      <c r="O65" s="137">
        <f t="shared" si="3"/>
        <v>148500</v>
      </c>
    </row>
    <row r="66" spans="1:15" ht="20.100000000000001" customHeight="1" x14ac:dyDescent="0.3">
      <c r="A66" s="124" t="s">
        <v>515</v>
      </c>
      <c r="B66" s="125"/>
      <c r="C66" s="126"/>
      <c r="D66" s="126"/>
      <c r="E66" s="127"/>
      <c r="F66" s="128"/>
      <c r="G66" s="128"/>
      <c r="H66" s="128"/>
      <c r="I66" s="129">
        <f>SUM(I67)</f>
        <v>0</v>
      </c>
      <c r="J66" s="129">
        <f t="shared" ref="J66:O66" si="4">SUM(J67)</f>
        <v>0</v>
      </c>
      <c r="K66" s="129">
        <f t="shared" si="4"/>
        <v>0</v>
      </c>
      <c r="L66" s="129">
        <f t="shared" si="4"/>
        <v>0</v>
      </c>
      <c r="M66" s="129">
        <f t="shared" si="4"/>
        <v>0</v>
      </c>
      <c r="N66" s="129">
        <f t="shared" si="4"/>
        <v>0</v>
      </c>
      <c r="O66" s="129">
        <f t="shared" si="4"/>
        <v>0</v>
      </c>
    </row>
    <row r="67" spans="1:15" s="151" customFormat="1" ht="20.100000000000001" customHeight="1" x14ac:dyDescent="0.2">
      <c r="A67" s="146"/>
      <c r="B67" s="147"/>
      <c r="C67" s="146"/>
      <c r="D67" s="146"/>
      <c r="E67" s="148"/>
      <c r="F67" s="149"/>
      <c r="G67" s="149"/>
      <c r="H67" s="149"/>
      <c r="I67" s="150"/>
      <c r="J67" s="150"/>
      <c r="K67" s="150"/>
      <c r="L67" s="150"/>
      <c r="M67" s="150"/>
      <c r="N67" s="150"/>
      <c r="O67" s="150"/>
    </row>
    <row r="68" spans="1:15" s="153" customFormat="1" ht="20.100000000000001" customHeight="1" x14ac:dyDescent="0.2">
      <c r="A68" s="592" t="s">
        <v>516</v>
      </c>
      <c r="B68" s="593"/>
      <c r="C68" s="593"/>
      <c r="D68" s="593"/>
      <c r="E68" s="593"/>
      <c r="F68" s="593"/>
      <c r="G68" s="593"/>
      <c r="H68" s="594"/>
      <c r="I68" s="152">
        <f t="shared" ref="I68:O68" si="5">+I8+I51+I66</f>
        <v>13431736.98</v>
      </c>
      <c r="J68" s="152">
        <f t="shared" si="5"/>
        <v>632809.06999999995</v>
      </c>
      <c r="K68" s="152">
        <f t="shared" si="5"/>
        <v>736676.57000000007</v>
      </c>
      <c r="L68" s="152">
        <f t="shared" si="5"/>
        <v>112500</v>
      </c>
      <c r="M68" s="152">
        <f t="shared" si="5"/>
        <v>112500</v>
      </c>
      <c r="N68" s="152">
        <f t="shared" si="5"/>
        <v>0</v>
      </c>
      <c r="O68" s="152">
        <f t="shared" si="5"/>
        <v>11837251.34</v>
      </c>
    </row>
  </sheetData>
  <mergeCells count="18">
    <mergeCell ref="E6:E7"/>
    <mergeCell ref="F6:F7"/>
    <mergeCell ref="G6:G7"/>
    <mergeCell ref="H6:H7"/>
    <mergeCell ref="I6:I7"/>
    <mergeCell ref="A68:H68"/>
    <mergeCell ref="A1:O1"/>
    <mergeCell ref="A2:O2"/>
    <mergeCell ref="A3:O3"/>
    <mergeCell ref="A5:A7"/>
    <mergeCell ref="B5:I5"/>
    <mergeCell ref="J5:M5"/>
    <mergeCell ref="O5:O7"/>
    <mergeCell ref="B6:B7"/>
    <mergeCell ref="C6:C7"/>
    <mergeCell ref="J6:K6"/>
    <mergeCell ref="L6:N6"/>
    <mergeCell ref="D6:D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60"/>
  <sheetViews>
    <sheetView topLeftCell="A55" workbookViewId="0">
      <selection sqref="A1:G1"/>
    </sheetView>
  </sheetViews>
  <sheetFormatPr defaultRowHeight="19.5" x14ac:dyDescent="0.4"/>
  <cols>
    <col min="1" max="1" width="8.375" style="90" customWidth="1"/>
    <col min="2" max="2" width="18.625" style="90" customWidth="1"/>
    <col min="3" max="3" width="82.25" style="90" customWidth="1"/>
    <col min="4" max="4" width="22.75" style="90" customWidth="1"/>
    <col min="5" max="5" width="12.375" style="90" customWidth="1"/>
    <col min="6" max="6" width="10.375" style="91" customWidth="1"/>
    <col min="7" max="7" width="13.625" style="8" customWidth="1"/>
    <col min="8" max="8" width="0.5" style="91" customWidth="1"/>
    <col min="9" max="11" width="13.625" style="91" customWidth="1"/>
    <col min="12" max="12" width="0.5" style="91" customWidth="1"/>
    <col min="13" max="13" width="13.625" style="93" customWidth="1"/>
    <col min="14" max="14" width="10.625" style="8" customWidth="1"/>
    <col min="15" max="15" width="13.625" style="93" customWidth="1"/>
    <col min="16" max="16" width="10.625" style="8" customWidth="1"/>
    <col min="17" max="17" width="13.625" style="93" customWidth="1"/>
    <col min="18" max="18" width="10.625" style="8" customWidth="1"/>
    <col min="19" max="19" width="0.5" style="8" customWidth="1"/>
    <col min="20" max="22" width="10.625" style="8" customWidth="1"/>
    <col min="23" max="16384" width="9" style="8"/>
  </cols>
  <sheetData>
    <row r="1" spans="1:22" ht="20.25" x14ac:dyDescent="0.45">
      <c r="A1" s="626" t="s">
        <v>94</v>
      </c>
      <c r="B1" s="626"/>
      <c r="C1" s="626"/>
      <c r="D1" s="626"/>
      <c r="E1" s="626"/>
      <c r="F1" s="626"/>
      <c r="G1" s="626"/>
      <c r="H1" s="6"/>
      <c r="I1" s="6"/>
      <c r="J1" s="6"/>
      <c r="K1" s="6"/>
      <c r="L1" s="6"/>
      <c r="M1" s="7"/>
      <c r="N1" s="6"/>
      <c r="O1" s="7"/>
      <c r="P1" s="6"/>
      <c r="Q1" s="7"/>
      <c r="R1" s="6"/>
      <c r="S1" s="6"/>
      <c r="T1" s="6"/>
      <c r="U1" s="6"/>
      <c r="V1" s="6"/>
    </row>
    <row r="2" spans="1:22" s="12" customFormat="1" ht="20.25" x14ac:dyDescent="0.45">
      <c r="A2" s="627" t="s">
        <v>1</v>
      </c>
      <c r="B2" s="627" t="s">
        <v>95</v>
      </c>
      <c r="C2" s="627" t="s">
        <v>10</v>
      </c>
      <c r="D2" s="628" t="s">
        <v>3</v>
      </c>
      <c r="E2" s="627" t="s">
        <v>2</v>
      </c>
      <c r="F2" s="628" t="s">
        <v>4</v>
      </c>
      <c r="G2" s="629" t="s">
        <v>96</v>
      </c>
      <c r="H2" s="9"/>
      <c r="I2" s="614"/>
      <c r="J2" s="614"/>
      <c r="K2" s="614"/>
      <c r="L2" s="10"/>
      <c r="M2" s="615" t="s">
        <v>6</v>
      </c>
      <c r="N2" s="615"/>
      <c r="O2" s="615"/>
      <c r="P2" s="615"/>
      <c r="Q2" s="615"/>
      <c r="R2" s="615"/>
      <c r="S2" s="11"/>
      <c r="T2" s="616" t="s">
        <v>7</v>
      </c>
      <c r="U2" s="616"/>
      <c r="V2" s="616"/>
    </row>
    <row r="3" spans="1:22" s="12" customFormat="1" ht="20.25" x14ac:dyDescent="0.45">
      <c r="A3" s="627"/>
      <c r="B3" s="627"/>
      <c r="C3" s="627"/>
      <c r="D3" s="628"/>
      <c r="E3" s="627"/>
      <c r="F3" s="628"/>
      <c r="G3" s="630"/>
      <c r="H3" s="9"/>
      <c r="I3" s="617" t="s">
        <v>97</v>
      </c>
      <c r="J3" s="618"/>
      <c r="K3" s="619" t="s">
        <v>98</v>
      </c>
      <c r="L3" s="13"/>
      <c r="M3" s="621" t="s">
        <v>99</v>
      </c>
      <c r="N3" s="621"/>
      <c r="O3" s="622" t="s">
        <v>100</v>
      </c>
      <c r="P3" s="622"/>
      <c r="Q3" s="623" t="s">
        <v>101</v>
      </c>
      <c r="R3" s="624"/>
      <c r="S3" s="14"/>
      <c r="T3" s="625" t="s">
        <v>102</v>
      </c>
      <c r="U3" s="625" t="s">
        <v>103</v>
      </c>
      <c r="V3" s="612" t="s">
        <v>3</v>
      </c>
    </row>
    <row r="4" spans="1:22" s="12" customFormat="1" ht="20.25" x14ac:dyDescent="0.45">
      <c r="A4" s="627"/>
      <c r="B4" s="627"/>
      <c r="C4" s="627"/>
      <c r="D4" s="628"/>
      <c r="E4" s="627"/>
      <c r="F4" s="628"/>
      <c r="G4" s="631"/>
      <c r="H4" s="9"/>
      <c r="I4" s="15" t="s">
        <v>99</v>
      </c>
      <c r="J4" s="15" t="s">
        <v>104</v>
      </c>
      <c r="K4" s="620"/>
      <c r="L4" s="16"/>
      <c r="M4" s="17" t="s">
        <v>105</v>
      </c>
      <c r="N4" s="18" t="s">
        <v>4</v>
      </c>
      <c r="O4" s="19" t="s">
        <v>105</v>
      </c>
      <c r="P4" s="20" t="s">
        <v>4</v>
      </c>
      <c r="Q4" s="21" t="s">
        <v>105</v>
      </c>
      <c r="R4" s="22" t="s">
        <v>4</v>
      </c>
      <c r="S4" s="23"/>
      <c r="T4" s="613"/>
      <c r="U4" s="613"/>
      <c r="V4" s="613"/>
    </row>
    <row r="5" spans="1:22" s="12" customFormat="1" ht="20.25" x14ac:dyDescent="0.45">
      <c r="A5" s="24">
        <v>240970</v>
      </c>
      <c r="B5" s="24"/>
      <c r="C5" s="24"/>
      <c r="D5" s="25"/>
      <c r="E5" s="26"/>
      <c r="F5" s="27"/>
      <c r="G5" s="28"/>
      <c r="H5" s="29"/>
      <c r="I5" s="30"/>
      <c r="J5" s="30"/>
      <c r="K5" s="30"/>
      <c r="L5" s="31"/>
      <c r="M5" s="32"/>
      <c r="N5" s="33"/>
      <c r="O5" s="34"/>
      <c r="P5" s="33"/>
      <c r="Q5" s="32"/>
      <c r="R5" s="30"/>
      <c r="S5" s="35"/>
      <c r="T5" s="36">
        <v>306794.2</v>
      </c>
      <c r="U5" s="36">
        <f>75000-28000-32000</f>
        <v>15000</v>
      </c>
      <c r="V5" s="36">
        <v>0</v>
      </c>
    </row>
    <row r="6" spans="1:22" s="52" customFormat="1" ht="58.5" x14ac:dyDescent="0.2">
      <c r="A6" s="37">
        <v>240976</v>
      </c>
      <c r="B6" s="38" t="s">
        <v>106</v>
      </c>
      <c r="C6" s="39" t="s">
        <v>107</v>
      </c>
      <c r="D6" s="40" t="s">
        <v>108</v>
      </c>
      <c r="E6" s="41" t="s">
        <v>109</v>
      </c>
      <c r="F6" s="42">
        <v>28800</v>
      </c>
      <c r="G6" s="43" t="s">
        <v>110</v>
      </c>
      <c r="H6" s="44"/>
      <c r="I6" s="45">
        <v>14400</v>
      </c>
      <c r="J6" s="45">
        <v>0</v>
      </c>
      <c r="K6" s="45">
        <v>14400</v>
      </c>
      <c r="L6" s="46"/>
      <c r="M6" s="47"/>
      <c r="N6" s="48"/>
      <c r="O6" s="49"/>
      <c r="P6" s="48"/>
      <c r="Q6" s="49"/>
      <c r="R6" s="45"/>
      <c r="S6" s="50"/>
      <c r="T6" s="51">
        <f>+I6-N6</f>
        <v>14400</v>
      </c>
      <c r="U6" s="51">
        <f>+J6-P6</f>
        <v>0</v>
      </c>
      <c r="V6" s="51">
        <f>+K6-R6</f>
        <v>14400</v>
      </c>
    </row>
    <row r="7" spans="1:22" s="52" customFormat="1" ht="58.5" x14ac:dyDescent="0.2">
      <c r="A7" s="37">
        <v>240980</v>
      </c>
      <c r="B7" s="38" t="s">
        <v>111</v>
      </c>
      <c r="C7" s="39" t="s">
        <v>112</v>
      </c>
      <c r="D7" s="40" t="s">
        <v>19</v>
      </c>
      <c r="E7" s="41" t="s">
        <v>113</v>
      </c>
      <c r="F7" s="42">
        <v>1750000</v>
      </c>
      <c r="G7" s="53" t="s">
        <v>110</v>
      </c>
      <c r="H7" s="44"/>
      <c r="I7" s="45">
        <v>87500</v>
      </c>
      <c r="J7" s="45">
        <v>1575000</v>
      </c>
      <c r="K7" s="45">
        <v>87500</v>
      </c>
      <c r="L7" s="46"/>
      <c r="M7" s="47"/>
      <c r="N7" s="48"/>
      <c r="O7" s="49" t="s">
        <v>114</v>
      </c>
      <c r="P7" s="48">
        <v>1575000</v>
      </c>
      <c r="Q7" s="49"/>
      <c r="R7" s="45"/>
      <c r="S7" s="50"/>
      <c r="T7" s="51">
        <f t="shared" ref="T7:T51" si="0">+I7-N7</f>
        <v>87500</v>
      </c>
      <c r="U7" s="51">
        <f t="shared" ref="U7:U51" si="1">+J7-P7</f>
        <v>0</v>
      </c>
      <c r="V7" s="51">
        <f t="shared" ref="V7:V51" si="2">+K7-R7</f>
        <v>87500</v>
      </c>
    </row>
    <row r="8" spans="1:22" s="52" customFormat="1" ht="58.5" x14ac:dyDescent="0.2">
      <c r="A8" s="37">
        <v>240997</v>
      </c>
      <c r="B8" s="38" t="s">
        <v>115</v>
      </c>
      <c r="C8" s="39" t="s">
        <v>116</v>
      </c>
      <c r="D8" s="40" t="s">
        <v>117</v>
      </c>
      <c r="E8" s="41" t="s">
        <v>118</v>
      </c>
      <c r="F8" s="42">
        <v>610000</v>
      </c>
      <c r="G8" s="43" t="s">
        <v>119</v>
      </c>
      <c r="H8" s="44"/>
      <c r="I8" s="45">
        <v>30500</v>
      </c>
      <c r="J8" s="45">
        <v>549000</v>
      </c>
      <c r="K8" s="45">
        <v>30500</v>
      </c>
      <c r="L8" s="46"/>
      <c r="M8" s="47"/>
      <c r="N8" s="48"/>
      <c r="O8" s="49" t="s">
        <v>120</v>
      </c>
      <c r="P8" s="48">
        <v>549000</v>
      </c>
      <c r="Q8" s="49"/>
      <c r="R8" s="45"/>
      <c r="S8" s="50"/>
      <c r="T8" s="51">
        <f t="shared" si="0"/>
        <v>30500</v>
      </c>
      <c r="U8" s="51">
        <f t="shared" si="1"/>
        <v>0</v>
      </c>
      <c r="V8" s="51">
        <f t="shared" si="2"/>
        <v>30500</v>
      </c>
    </row>
    <row r="9" spans="1:22" s="52" customFormat="1" ht="39" x14ac:dyDescent="0.2">
      <c r="A9" s="37">
        <v>241004</v>
      </c>
      <c r="B9" s="38" t="s">
        <v>121</v>
      </c>
      <c r="C9" s="39" t="s">
        <v>122</v>
      </c>
      <c r="D9" s="40" t="s">
        <v>108</v>
      </c>
      <c r="E9" s="41" t="s">
        <v>123</v>
      </c>
      <c r="F9" s="42">
        <v>928000</v>
      </c>
      <c r="G9" s="53" t="s">
        <v>110</v>
      </c>
      <c r="H9" s="44"/>
      <c r="I9" s="45">
        <v>46400</v>
      </c>
      <c r="J9" s="45">
        <v>835200</v>
      </c>
      <c r="K9" s="45">
        <v>46400</v>
      </c>
      <c r="L9" s="46"/>
      <c r="M9" s="47"/>
      <c r="N9" s="48"/>
      <c r="O9" s="49" t="s">
        <v>124</v>
      </c>
      <c r="P9" s="48">
        <v>835200</v>
      </c>
      <c r="Q9" s="49"/>
      <c r="R9" s="45"/>
      <c r="S9" s="50"/>
      <c r="T9" s="51">
        <f t="shared" si="0"/>
        <v>46400</v>
      </c>
      <c r="U9" s="51">
        <f t="shared" si="1"/>
        <v>0</v>
      </c>
      <c r="V9" s="51">
        <f t="shared" si="2"/>
        <v>46400</v>
      </c>
    </row>
    <row r="10" spans="1:22" s="52" customFormat="1" ht="39" x14ac:dyDescent="0.2">
      <c r="A10" s="37">
        <v>241008</v>
      </c>
      <c r="B10" s="38" t="s">
        <v>115</v>
      </c>
      <c r="C10" s="39" t="s">
        <v>125</v>
      </c>
      <c r="D10" s="40" t="s">
        <v>117</v>
      </c>
      <c r="E10" s="41" t="s">
        <v>126</v>
      </c>
      <c r="F10" s="42">
        <v>297000</v>
      </c>
      <c r="G10" s="43" t="s">
        <v>119</v>
      </c>
      <c r="H10" s="44"/>
      <c r="I10" s="45">
        <v>14850</v>
      </c>
      <c r="J10" s="45">
        <v>267300</v>
      </c>
      <c r="K10" s="45">
        <v>14850</v>
      </c>
      <c r="L10" s="46"/>
      <c r="M10" s="47"/>
      <c r="N10" s="48"/>
      <c r="O10" s="49" t="s">
        <v>127</v>
      </c>
      <c r="P10" s="48">
        <v>267300</v>
      </c>
      <c r="Q10" s="49"/>
      <c r="R10" s="45"/>
      <c r="S10" s="50"/>
      <c r="T10" s="51">
        <f t="shared" si="0"/>
        <v>14850</v>
      </c>
      <c r="U10" s="51">
        <f t="shared" si="1"/>
        <v>0</v>
      </c>
      <c r="V10" s="51">
        <f t="shared" si="2"/>
        <v>14850</v>
      </c>
    </row>
    <row r="11" spans="1:22" s="52" customFormat="1" ht="78" x14ac:dyDescent="0.2">
      <c r="A11" s="37">
        <v>241014</v>
      </c>
      <c r="B11" s="38" t="s">
        <v>128</v>
      </c>
      <c r="C11" s="39" t="s">
        <v>129</v>
      </c>
      <c r="D11" s="40" t="s">
        <v>117</v>
      </c>
      <c r="E11" s="41" t="s">
        <v>130</v>
      </c>
      <c r="F11" s="42">
        <v>24000</v>
      </c>
      <c r="G11" s="53" t="s">
        <v>110</v>
      </c>
      <c r="H11" s="44"/>
      <c r="I11" s="45">
        <v>1200</v>
      </c>
      <c r="J11" s="45">
        <v>21600</v>
      </c>
      <c r="K11" s="45">
        <v>1200</v>
      </c>
      <c r="L11" s="46"/>
      <c r="M11" s="47"/>
      <c r="N11" s="48"/>
      <c r="O11" s="49" t="s">
        <v>131</v>
      </c>
      <c r="P11" s="48">
        <v>21600</v>
      </c>
      <c r="Q11" s="49"/>
      <c r="R11" s="45"/>
      <c r="S11" s="50"/>
      <c r="T11" s="51">
        <f t="shared" si="0"/>
        <v>1200</v>
      </c>
      <c r="U11" s="51">
        <f t="shared" si="1"/>
        <v>0</v>
      </c>
      <c r="V11" s="51">
        <f t="shared" si="2"/>
        <v>1200</v>
      </c>
    </row>
    <row r="12" spans="1:22" s="52" customFormat="1" ht="39" x14ac:dyDescent="0.2">
      <c r="A12" s="37">
        <v>241018</v>
      </c>
      <c r="B12" s="38" t="s">
        <v>115</v>
      </c>
      <c r="C12" s="39" t="s">
        <v>132</v>
      </c>
      <c r="D12" s="40" t="s">
        <v>117</v>
      </c>
      <c r="E12" s="41" t="s">
        <v>133</v>
      </c>
      <c r="F12" s="42">
        <v>203000</v>
      </c>
      <c r="G12" s="43" t="s">
        <v>119</v>
      </c>
      <c r="H12" s="44"/>
      <c r="I12" s="45">
        <v>10150</v>
      </c>
      <c r="J12" s="45">
        <v>182700</v>
      </c>
      <c r="K12" s="45">
        <v>10150</v>
      </c>
      <c r="L12" s="46"/>
      <c r="M12" s="47"/>
      <c r="N12" s="48"/>
      <c r="O12" s="49" t="s">
        <v>134</v>
      </c>
      <c r="P12" s="48">
        <v>182700</v>
      </c>
      <c r="Q12" s="49"/>
      <c r="R12" s="45"/>
      <c r="S12" s="50"/>
      <c r="T12" s="51">
        <f t="shared" si="0"/>
        <v>10150</v>
      </c>
      <c r="U12" s="51">
        <f t="shared" si="1"/>
        <v>0</v>
      </c>
      <c r="V12" s="51">
        <f t="shared" si="2"/>
        <v>10150</v>
      </c>
    </row>
    <row r="13" spans="1:22" s="52" customFormat="1" ht="58.5" x14ac:dyDescent="0.2">
      <c r="A13" s="37">
        <v>241029</v>
      </c>
      <c r="B13" s="38" t="s">
        <v>115</v>
      </c>
      <c r="C13" s="39" t="s">
        <v>135</v>
      </c>
      <c r="D13" s="40" t="s">
        <v>117</v>
      </c>
      <c r="E13" s="41" t="s">
        <v>136</v>
      </c>
      <c r="F13" s="42">
        <v>404000</v>
      </c>
      <c r="G13" s="43" t="s">
        <v>119</v>
      </c>
      <c r="H13" s="44"/>
      <c r="I13" s="45">
        <v>20200</v>
      </c>
      <c r="J13" s="45">
        <v>363600</v>
      </c>
      <c r="K13" s="45">
        <v>20200</v>
      </c>
      <c r="L13" s="46"/>
      <c r="M13" s="47"/>
      <c r="N13" s="48"/>
      <c r="O13" s="49" t="s">
        <v>137</v>
      </c>
      <c r="P13" s="48">
        <v>363600</v>
      </c>
      <c r="Q13" s="49"/>
      <c r="R13" s="45"/>
      <c r="S13" s="50"/>
      <c r="T13" s="51">
        <f t="shared" si="0"/>
        <v>20200</v>
      </c>
      <c r="U13" s="51">
        <f t="shared" si="1"/>
        <v>0</v>
      </c>
      <c r="V13" s="51">
        <f t="shared" si="2"/>
        <v>20200</v>
      </c>
    </row>
    <row r="14" spans="1:22" s="52" customFormat="1" ht="58.5" x14ac:dyDescent="0.2">
      <c r="A14" s="37">
        <v>241030</v>
      </c>
      <c r="B14" s="38" t="s">
        <v>115</v>
      </c>
      <c r="C14" s="39" t="s">
        <v>138</v>
      </c>
      <c r="D14" s="40" t="s">
        <v>117</v>
      </c>
      <c r="E14" s="41" t="s">
        <v>139</v>
      </c>
      <c r="F14" s="42">
        <v>423500</v>
      </c>
      <c r="G14" s="43" t="s">
        <v>119</v>
      </c>
      <c r="H14" s="44"/>
      <c r="I14" s="45">
        <v>21175</v>
      </c>
      <c r="J14" s="45">
        <v>381150</v>
      </c>
      <c r="K14" s="45">
        <v>21175</v>
      </c>
      <c r="L14" s="46"/>
      <c r="M14" s="47"/>
      <c r="N14" s="48"/>
      <c r="O14" s="49" t="s">
        <v>140</v>
      </c>
      <c r="P14" s="48">
        <v>381150</v>
      </c>
      <c r="Q14" s="49"/>
      <c r="R14" s="45"/>
      <c r="S14" s="50"/>
      <c r="T14" s="51">
        <f t="shared" si="0"/>
        <v>21175</v>
      </c>
      <c r="U14" s="51">
        <f t="shared" si="1"/>
        <v>0</v>
      </c>
      <c r="V14" s="51">
        <f t="shared" si="2"/>
        <v>21175</v>
      </c>
    </row>
    <row r="15" spans="1:22" s="52" customFormat="1" ht="78" x14ac:dyDescent="0.2">
      <c r="A15" s="37">
        <v>241039</v>
      </c>
      <c r="B15" s="38" t="s">
        <v>115</v>
      </c>
      <c r="C15" s="39" t="s">
        <v>141</v>
      </c>
      <c r="D15" s="40" t="s">
        <v>117</v>
      </c>
      <c r="E15" s="41" t="s">
        <v>142</v>
      </c>
      <c r="F15" s="42">
        <v>487000</v>
      </c>
      <c r="G15" s="53" t="s">
        <v>110</v>
      </c>
      <c r="H15" s="44"/>
      <c r="I15" s="45">
        <v>24350</v>
      </c>
      <c r="J15" s="45">
        <v>438300</v>
      </c>
      <c r="K15" s="45">
        <v>24350</v>
      </c>
      <c r="L15" s="46"/>
      <c r="M15" s="47"/>
      <c r="N15" s="48"/>
      <c r="O15" s="49" t="s">
        <v>143</v>
      </c>
      <c r="P15" s="48">
        <v>438300</v>
      </c>
      <c r="Q15" s="49"/>
      <c r="R15" s="45"/>
      <c r="S15" s="50"/>
      <c r="T15" s="51">
        <f t="shared" si="0"/>
        <v>24350</v>
      </c>
      <c r="U15" s="51">
        <f t="shared" si="1"/>
        <v>0</v>
      </c>
      <c r="V15" s="51">
        <f t="shared" si="2"/>
        <v>24350</v>
      </c>
    </row>
    <row r="16" spans="1:22" s="52" customFormat="1" ht="39" x14ac:dyDescent="0.2">
      <c r="A16" s="37">
        <v>241051</v>
      </c>
      <c r="B16" s="38" t="s">
        <v>115</v>
      </c>
      <c r="C16" s="39" t="s">
        <v>144</v>
      </c>
      <c r="D16" s="40" t="s">
        <v>117</v>
      </c>
      <c r="E16" s="41" t="s">
        <v>145</v>
      </c>
      <c r="F16" s="42">
        <v>25000</v>
      </c>
      <c r="G16" s="53" t="s">
        <v>110</v>
      </c>
      <c r="H16" s="44"/>
      <c r="I16" s="45">
        <v>1250</v>
      </c>
      <c r="J16" s="45">
        <v>22500</v>
      </c>
      <c r="K16" s="45">
        <v>1250</v>
      </c>
      <c r="L16" s="46"/>
      <c r="M16" s="47"/>
      <c r="N16" s="48"/>
      <c r="O16" s="49" t="s">
        <v>146</v>
      </c>
      <c r="P16" s="48">
        <v>22500</v>
      </c>
      <c r="Q16" s="49"/>
      <c r="R16" s="45"/>
      <c r="S16" s="50"/>
      <c r="T16" s="51">
        <f t="shared" si="0"/>
        <v>1250</v>
      </c>
      <c r="U16" s="51">
        <f t="shared" si="1"/>
        <v>0</v>
      </c>
      <c r="V16" s="51">
        <f t="shared" si="2"/>
        <v>1250</v>
      </c>
    </row>
    <row r="17" spans="1:22" s="52" customFormat="1" ht="39" x14ac:dyDescent="0.2">
      <c r="A17" s="37">
        <v>241051</v>
      </c>
      <c r="B17" s="38" t="s">
        <v>115</v>
      </c>
      <c r="C17" s="39" t="s">
        <v>147</v>
      </c>
      <c r="D17" s="40" t="s">
        <v>117</v>
      </c>
      <c r="E17" s="41" t="s">
        <v>148</v>
      </c>
      <c r="F17" s="42">
        <v>143000</v>
      </c>
      <c r="G17" s="43" t="s">
        <v>119</v>
      </c>
      <c r="H17" s="44"/>
      <c r="I17" s="45">
        <v>7150</v>
      </c>
      <c r="J17" s="45">
        <v>128700</v>
      </c>
      <c r="K17" s="45">
        <v>7150</v>
      </c>
      <c r="L17" s="46"/>
      <c r="M17" s="47"/>
      <c r="N17" s="48"/>
      <c r="O17" s="49" t="s">
        <v>149</v>
      </c>
      <c r="P17" s="48">
        <v>128700</v>
      </c>
      <c r="Q17" s="49"/>
      <c r="R17" s="45"/>
      <c r="S17" s="50"/>
      <c r="T17" s="51">
        <f t="shared" si="0"/>
        <v>7150</v>
      </c>
      <c r="U17" s="51">
        <f t="shared" si="1"/>
        <v>0</v>
      </c>
      <c r="V17" s="51">
        <f t="shared" si="2"/>
        <v>7150</v>
      </c>
    </row>
    <row r="18" spans="1:22" s="52" customFormat="1" x14ac:dyDescent="0.2">
      <c r="A18" s="37">
        <v>241055</v>
      </c>
      <c r="B18" s="38" t="s">
        <v>150</v>
      </c>
      <c r="C18" s="39" t="s">
        <v>151</v>
      </c>
      <c r="D18" s="40" t="s">
        <v>152</v>
      </c>
      <c r="E18" s="41" t="s">
        <v>11</v>
      </c>
      <c r="F18" s="42">
        <v>5202.26</v>
      </c>
      <c r="G18" s="53" t="s">
        <v>110</v>
      </c>
      <c r="H18" s="44"/>
      <c r="I18" s="45">
        <v>5202.26</v>
      </c>
      <c r="J18" s="45">
        <v>0</v>
      </c>
      <c r="K18" s="45">
        <v>0</v>
      </c>
      <c r="L18" s="46"/>
      <c r="M18" s="47"/>
      <c r="N18" s="48"/>
      <c r="O18" s="49"/>
      <c r="P18" s="48"/>
      <c r="Q18" s="49"/>
      <c r="R18" s="45"/>
      <c r="S18" s="50"/>
      <c r="T18" s="51">
        <f t="shared" si="0"/>
        <v>5202.26</v>
      </c>
      <c r="U18" s="51">
        <f t="shared" si="1"/>
        <v>0</v>
      </c>
      <c r="V18" s="51">
        <f t="shared" si="2"/>
        <v>0</v>
      </c>
    </row>
    <row r="19" spans="1:22" s="52" customFormat="1" x14ac:dyDescent="0.2">
      <c r="A19" s="37">
        <v>241061</v>
      </c>
      <c r="B19" s="38" t="s">
        <v>153</v>
      </c>
      <c r="C19" s="39" t="s">
        <v>151</v>
      </c>
      <c r="D19" s="40" t="s">
        <v>152</v>
      </c>
      <c r="E19" s="41" t="s">
        <v>11</v>
      </c>
      <c r="F19" s="42">
        <v>18364.25</v>
      </c>
      <c r="G19" s="43" t="s">
        <v>119</v>
      </c>
      <c r="H19" s="44"/>
      <c r="I19" s="45">
        <v>18364.25</v>
      </c>
      <c r="J19" s="45">
        <v>0</v>
      </c>
      <c r="K19" s="45">
        <v>0</v>
      </c>
      <c r="L19" s="46"/>
      <c r="M19" s="47"/>
      <c r="N19" s="48"/>
      <c r="O19" s="49"/>
      <c r="P19" s="48"/>
      <c r="Q19" s="49"/>
      <c r="R19" s="45"/>
      <c r="S19" s="50"/>
      <c r="T19" s="51">
        <f t="shared" si="0"/>
        <v>18364.25</v>
      </c>
      <c r="U19" s="51">
        <f t="shared" si="1"/>
        <v>0</v>
      </c>
      <c r="V19" s="51">
        <f t="shared" si="2"/>
        <v>0</v>
      </c>
    </row>
    <row r="20" spans="1:22" s="52" customFormat="1" ht="58.5" x14ac:dyDescent="0.2">
      <c r="A20" s="37">
        <v>241077</v>
      </c>
      <c r="B20" s="38" t="s">
        <v>154</v>
      </c>
      <c r="C20" s="39" t="s">
        <v>155</v>
      </c>
      <c r="D20" s="40" t="s">
        <v>156</v>
      </c>
      <c r="E20" s="41" t="s">
        <v>157</v>
      </c>
      <c r="F20" s="42">
        <v>60000</v>
      </c>
      <c r="G20" s="43" t="s">
        <v>119</v>
      </c>
      <c r="H20" s="44"/>
      <c r="I20" s="45">
        <v>3000</v>
      </c>
      <c r="J20" s="45">
        <v>54000</v>
      </c>
      <c r="K20" s="45">
        <v>3000</v>
      </c>
      <c r="L20" s="46"/>
      <c r="M20" s="47"/>
      <c r="N20" s="48"/>
      <c r="O20" s="49" t="s">
        <v>158</v>
      </c>
      <c r="P20" s="48">
        <v>54000</v>
      </c>
      <c r="Q20" s="49"/>
      <c r="R20" s="45"/>
      <c r="S20" s="50"/>
      <c r="T20" s="51">
        <f t="shared" si="0"/>
        <v>3000</v>
      </c>
      <c r="U20" s="51">
        <f t="shared" si="1"/>
        <v>0</v>
      </c>
      <c r="V20" s="51">
        <f t="shared" si="2"/>
        <v>3000</v>
      </c>
    </row>
    <row r="21" spans="1:22" s="52" customFormat="1" ht="39" x14ac:dyDescent="0.2">
      <c r="A21" s="37">
        <v>241081</v>
      </c>
      <c r="B21" s="38" t="s">
        <v>159</v>
      </c>
      <c r="C21" s="39" t="s">
        <v>160</v>
      </c>
      <c r="D21" s="40" t="s">
        <v>161</v>
      </c>
      <c r="E21" s="41" t="s">
        <v>162</v>
      </c>
      <c r="F21" s="42">
        <v>578550</v>
      </c>
      <c r="G21" s="43" t="s">
        <v>119</v>
      </c>
      <c r="H21" s="44"/>
      <c r="I21" s="45">
        <v>4000</v>
      </c>
      <c r="J21" s="45">
        <v>570550</v>
      </c>
      <c r="K21" s="45">
        <v>4000</v>
      </c>
      <c r="L21" s="46"/>
      <c r="M21" s="47"/>
      <c r="N21" s="48"/>
      <c r="O21" s="49" t="s">
        <v>163</v>
      </c>
      <c r="P21" s="48">
        <v>570550</v>
      </c>
      <c r="Q21" s="49"/>
      <c r="R21" s="45"/>
      <c r="S21" s="50"/>
      <c r="T21" s="51">
        <f t="shared" si="0"/>
        <v>4000</v>
      </c>
      <c r="U21" s="51">
        <f t="shared" si="1"/>
        <v>0</v>
      </c>
      <c r="V21" s="51">
        <f t="shared" si="2"/>
        <v>4000</v>
      </c>
    </row>
    <row r="22" spans="1:22" s="52" customFormat="1" ht="39" x14ac:dyDescent="0.2">
      <c r="A22" s="37">
        <v>241085</v>
      </c>
      <c r="B22" s="38" t="s">
        <v>115</v>
      </c>
      <c r="C22" s="39" t="s">
        <v>164</v>
      </c>
      <c r="D22" s="40" t="s">
        <v>117</v>
      </c>
      <c r="E22" s="41" t="s">
        <v>165</v>
      </c>
      <c r="F22" s="42">
        <v>64000</v>
      </c>
      <c r="G22" s="43" t="s">
        <v>119</v>
      </c>
      <c r="H22" s="44"/>
      <c r="I22" s="45">
        <v>3200</v>
      </c>
      <c r="J22" s="45">
        <v>57600</v>
      </c>
      <c r="K22" s="45">
        <v>3200</v>
      </c>
      <c r="L22" s="46"/>
      <c r="M22" s="47"/>
      <c r="N22" s="48"/>
      <c r="O22" s="49" t="s">
        <v>166</v>
      </c>
      <c r="P22" s="48">
        <v>57600</v>
      </c>
      <c r="Q22" s="49"/>
      <c r="R22" s="45"/>
      <c r="S22" s="50"/>
      <c r="T22" s="51">
        <f t="shared" si="0"/>
        <v>3200</v>
      </c>
      <c r="U22" s="51">
        <f t="shared" si="1"/>
        <v>0</v>
      </c>
      <c r="V22" s="51">
        <f t="shared" si="2"/>
        <v>3200</v>
      </c>
    </row>
    <row r="23" spans="1:22" s="52" customFormat="1" ht="39" x14ac:dyDescent="0.2">
      <c r="A23" s="37">
        <v>241115</v>
      </c>
      <c r="B23" s="38" t="s">
        <v>115</v>
      </c>
      <c r="C23" s="39" t="s">
        <v>167</v>
      </c>
      <c r="D23" s="40" t="s">
        <v>117</v>
      </c>
      <c r="E23" s="41" t="s">
        <v>168</v>
      </c>
      <c r="F23" s="42">
        <v>20000</v>
      </c>
      <c r="G23" s="53" t="s">
        <v>110</v>
      </c>
      <c r="H23" s="44"/>
      <c r="I23" s="45">
        <v>1000</v>
      </c>
      <c r="J23" s="45">
        <v>18000</v>
      </c>
      <c r="K23" s="45">
        <v>1000</v>
      </c>
      <c r="L23" s="46"/>
      <c r="M23" s="47"/>
      <c r="N23" s="48"/>
      <c r="O23" s="49" t="s">
        <v>169</v>
      </c>
      <c r="P23" s="48">
        <v>18000</v>
      </c>
      <c r="Q23" s="49"/>
      <c r="R23" s="45"/>
      <c r="S23" s="50"/>
      <c r="T23" s="51">
        <f t="shared" si="0"/>
        <v>1000</v>
      </c>
      <c r="U23" s="51">
        <f t="shared" si="1"/>
        <v>0</v>
      </c>
      <c r="V23" s="51">
        <f t="shared" si="2"/>
        <v>1000</v>
      </c>
    </row>
    <row r="24" spans="1:22" s="52" customFormat="1" ht="39" x14ac:dyDescent="0.2">
      <c r="A24" s="37">
        <v>241115</v>
      </c>
      <c r="B24" s="38" t="s">
        <v>170</v>
      </c>
      <c r="C24" s="39" t="s">
        <v>171</v>
      </c>
      <c r="D24" s="40" t="s">
        <v>22</v>
      </c>
      <c r="E24" s="41" t="s">
        <v>172</v>
      </c>
      <c r="F24" s="42">
        <v>236075</v>
      </c>
      <c r="G24" s="53" t="s">
        <v>173</v>
      </c>
      <c r="H24" s="44"/>
      <c r="I24" s="45">
        <v>0</v>
      </c>
      <c r="J24" s="45">
        <v>236075</v>
      </c>
      <c r="K24" s="45">
        <v>0</v>
      </c>
      <c r="L24" s="46"/>
      <c r="M24" s="47"/>
      <c r="N24" s="48"/>
      <c r="O24" s="49" t="s">
        <v>174</v>
      </c>
      <c r="P24" s="48">
        <v>236075</v>
      </c>
      <c r="Q24" s="49"/>
      <c r="R24" s="45"/>
      <c r="S24" s="50"/>
      <c r="T24" s="51">
        <f t="shared" si="0"/>
        <v>0</v>
      </c>
      <c r="U24" s="51">
        <f t="shared" si="1"/>
        <v>0</v>
      </c>
      <c r="V24" s="51">
        <f t="shared" si="2"/>
        <v>0</v>
      </c>
    </row>
    <row r="25" spans="1:22" s="52" customFormat="1" ht="39" x14ac:dyDescent="0.2">
      <c r="A25" s="37">
        <v>241135</v>
      </c>
      <c r="B25" s="38" t="s">
        <v>115</v>
      </c>
      <c r="C25" s="39" t="s">
        <v>175</v>
      </c>
      <c r="D25" s="40" t="s">
        <v>117</v>
      </c>
      <c r="E25" s="41" t="s">
        <v>176</v>
      </c>
      <c r="F25" s="42">
        <v>20000</v>
      </c>
      <c r="G25" s="43" t="s">
        <v>119</v>
      </c>
      <c r="H25" s="44"/>
      <c r="I25" s="45">
        <v>1000</v>
      </c>
      <c r="J25" s="45">
        <v>18000</v>
      </c>
      <c r="K25" s="45">
        <v>1000</v>
      </c>
      <c r="L25" s="46"/>
      <c r="M25" s="47"/>
      <c r="N25" s="48"/>
      <c r="O25" s="49" t="s">
        <v>177</v>
      </c>
      <c r="P25" s="48">
        <v>18000</v>
      </c>
      <c r="Q25" s="49"/>
      <c r="R25" s="45"/>
      <c r="S25" s="50"/>
      <c r="T25" s="51">
        <f t="shared" si="0"/>
        <v>1000</v>
      </c>
      <c r="U25" s="51">
        <f t="shared" si="1"/>
        <v>0</v>
      </c>
      <c r="V25" s="51">
        <f t="shared" si="2"/>
        <v>1000</v>
      </c>
    </row>
    <row r="26" spans="1:22" s="52" customFormat="1" ht="39" x14ac:dyDescent="0.2">
      <c r="A26" s="37">
        <v>241148</v>
      </c>
      <c r="B26" s="38" t="s">
        <v>159</v>
      </c>
      <c r="C26" s="39" t="s">
        <v>178</v>
      </c>
      <c r="D26" s="40" t="s">
        <v>161</v>
      </c>
      <c r="E26" s="41" t="s">
        <v>179</v>
      </c>
      <c r="F26" s="42">
        <v>578550</v>
      </c>
      <c r="G26" s="43" t="s">
        <v>119</v>
      </c>
      <c r="H26" s="44"/>
      <c r="I26" s="45">
        <v>0</v>
      </c>
      <c r="J26" s="45">
        <v>578550</v>
      </c>
      <c r="K26" s="45">
        <v>0</v>
      </c>
      <c r="L26" s="46"/>
      <c r="M26" s="47"/>
      <c r="N26" s="48"/>
      <c r="O26" s="49" t="s">
        <v>180</v>
      </c>
      <c r="P26" s="48">
        <v>578550</v>
      </c>
      <c r="Q26" s="49"/>
      <c r="R26" s="45"/>
      <c r="S26" s="50"/>
      <c r="T26" s="51">
        <f t="shared" si="0"/>
        <v>0</v>
      </c>
      <c r="U26" s="51">
        <f t="shared" si="1"/>
        <v>0</v>
      </c>
      <c r="V26" s="51">
        <f t="shared" si="2"/>
        <v>0</v>
      </c>
    </row>
    <row r="27" spans="1:22" s="52" customFormat="1" ht="78" x14ac:dyDescent="0.2">
      <c r="A27" s="37">
        <v>241149</v>
      </c>
      <c r="B27" s="38" t="s">
        <v>181</v>
      </c>
      <c r="C27" s="39" t="s">
        <v>182</v>
      </c>
      <c r="D27" s="40" t="s">
        <v>183</v>
      </c>
      <c r="E27" s="41" t="s">
        <v>184</v>
      </c>
      <c r="F27" s="42">
        <v>76000</v>
      </c>
      <c r="G27" s="43" t="s">
        <v>119</v>
      </c>
      <c r="H27" s="44"/>
      <c r="I27" s="45">
        <v>38000</v>
      </c>
      <c r="J27" s="45">
        <v>0</v>
      </c>
      <c r="K27" s="45">
        <v>38000</v>
      </c>
      <c r="L27" s="46"/>
      <c r="M27" s="47"/>
      <c r="N27" s="48"/>
      <c r="O27" s="49"/>
      <c r="P27" s="48"/>
      <c r="Q27" s="49"/>
      <c r="R27" s="45"/>
      <c r="S27" s="50"/>
      <c r="T27" s="51">
        <f t="shared" si="0"/>
        <v>38000</v>
      </c>
      <c r="U27" s="51">
        <f t="shared" si="1"/>
        <v>0</v>
      </c>
      <c r="V27" s="51">
        <f t="shared" si="2"/>
        <v>38000</v>
      </c>
    </row>
    <row r="28" spans="1:22" s="52" customFormat="1" ht="58.5" x14ac:dyDescent="0.2">
      <c r="A28" s="37">
        <v>241159</v>
      </c>
      <c r="B28" s="38" t="s">
        <v>185</v>
      </c>
      <c r="C28" s="39" t="s">
        <v>186</v>
      </c>
      <c r="D28" s="40" t="s">
        <v>19</v>
      </c>
      <c r="E28" s="41" t="s">
        <v>187</v>
      </c>
      <c r="F28" s="42">
        <v>900000</v>
      </c>
      <c r="G28" s="53" t="s">
        <v>110</v>
      </c>
      <c r="H28" s="44"/>
      <c r="I28" s="45">
        <v>45000</v>
      </c>
      <c r="J28" s="45">
        <v>810000</v>
      </c>
      <c r="K28" s="45">
        <v>45000</v>
      </c>
      <c r="L28" s="46"/>
      <c r="M28" s="47"/>
      <c r="N28" s="48"/>
      <c r="O28" s="49" t="s">
        <v>188</v>
      </c>
      <c r="P28" s="48">
        <v>810000</v>
      </c>
      <c r="Q28" s="49"/>
      <c r="R28" s="45"/>
      <c r="S28" s="50"/>
      <c r="T28" s="51">
        <f t="shared" si="0"/>
        <v>45000</v>
      </c>
      <c r="U28" s="51">
        <f t="shared" si="1"/>
        <v>0</v>
      </c>
      <c r="V28" s="51">
        <f t="shared" si="2"/>
        <v>45000</v>
      </c>
    </row>
    <row r="29" spans="1:22" s="52" customFormat="1" ht="78" x14ac:dyDescent="0.2">
      <c r="A29" s="37">
        <v>241162</v>
      </c>
      <c r="B29" s="38" t="s">
        <v>185</v>
      </c>
      <c r="C29" s="39" t="s">
        <v>189</v>
      </c>
      <c r="D29" s="40" t="s">
        <v>19</v>
      </c>
      <c r="E29" s="41" t="s">
        <v>190</v>
      </c>
      <c r="F29" s="42">
        <v>342000</v>
      </c>
      <c r="G29" s="43" t="s">
        <v>119</v>
      </c>
      <c r="H29" s="44"/>
      <c r="I29" s="45">
        <v>17100</v>
      </c>
      <c r="J29" s="45">
        <v>307800</v>
      </c>
      <c r="K29" s="45">
        <v>17100</v>
      </c>
      <c r="L29" s="46"/>
      <c r="M29" s="47"/>
      <c r="N29" s="48"/>
      <c r="O29" s="49" t="s">
        <v>191</v>
      </c>
      <c r="P29" s="48">
        <v>307800</v>
      </c>
      <c r="Q29" s="49"/>
      <c r="R29" s="45"/>
      <c r="S29" s="50"/>
      <c r="T29" s="51">
        <f t="shared" si="0"/>
        <v>17100</v>
      </c>
      <c r="U29" s="51">
        <f t="shared" si="1"/>
        <v>0</v>
      </c>
      <c r="V29" s="51">
        <f t="shared" si="2"/>
        <v>17100</v>
      </c>
    </row>
    <row r="30" spans="1:22" s="52" customFormat="1" ht="97.5" x14ac:dyDescent="0.2">
      <c r="A30" s="37">
        <v>241163</v>
      </c>
      <c r="B30" s="38" t="s">
        <v>192</v>
      </c>
      <c r="C30" s="39" t="s">
        <v>193</v>
      </c>
      <c r="D30" s="40" t="s">
        <v>22</v>
      </c>
      <c r="E30" s="41" t="s">
        <v>194</v>
      </c>
      <c r="F30" s="42">
        <v>490000</v>
      </c>
      <c r="G30" s="53" t="s">
        <v>110</v>
      </c>
      <c r="H30" s="44"/>
      <c r="I30" s="45">
        <v>24500</v>
      </c>
      <c r="J30" s="45">
        <v>441000</v>
      </c>
      <c r="K30" s="45">
        <v>24500</v>
      </c>
      <c r="L30" s="46"/>
      <c r="M30" s="47"/>
      <c r="N30" s="48"/>
      <c r="O30" s="49" t="s">
        <v>195</v>
      </c>
      <c r="P30" s="48">
        <v>220500</v>
      </c>
      <c r="Q30" s="49"/>
      <c r="R30" s="45"/>
      <c r="S30" s="50"/>
      <c r="T30" s="51">
        <f t="shared" si="0"/>
        <v>24500</v>
      </c>
      <c r="U30" s="51">
        <f t="shared" si="1"/>
        <v>220500</v>
      </c>
      <c r="V30" s="51">
        <f t="shared" si="2"/>
        <v>24500</v>
      </c>
    </row>
    <row r="31" spans="1:22" s="52" customFormat="1" ht="39" x14ac:dyDescent="0.2">
      <c r="A31" s="37">
        <v>241178</v>
      </c>
      <c r="B31" s="38" t="s">
        <v>115</v>
      </c>
      <c r="C31" s="39" t="s">
        <v>196</v>
      </c>
      <c r="D31" s="40" t="s">
        <v>117</v>
      </c>
      <c r="E31" s="41" t="s">
        <v>197</v>
      </c>
      <c r="F31" s="42">
        <v>20000</v>
      </c>
      <c r="G31" s="43" t="s">
        <v>119</v>
      </c>
      <c r="H31" s="44"/>
      <c r="I31" s="45">
        <v>1000</v>
      </c>
      <c r="J31" s="45">
        <v>18000</v>
      </c>
      <c r="K31" s="45">
        <v>1000</v>
      </c>
      <c r="L31" s="46"/>
      <c r="M31" s="47"/>
      <c r="N31" s="48"/>
      <c r="O31" s="49" t="s">
        <v>198</v>
      </c>
      <c r="P31" s="48">
        <v>18000</v>
      </c>
      <c r="Q31" s="49"/>
      <c r="R31" s="45"/>
      <c r="S31" s="50"/>
      <c r="T31" s="51">
        <f t="shared" si="0"/>
        <v>1000</v>
      </c>
      <c r="U31" s="51">
        <f t="shared" si="1"/>
        <v>0</v>
      </c>
      <c r="V31" s="51">
        <f t="shared" si="2"/>
        <v>1000</v>
      </c>
    </row>
    <row r="32" spans="1:22" s="69" customFormat="1" ht="182.25" x14ac:dyDescent="0.2">
      <c r="A32" s="54">
        <v>241201</v>
      </c>
      <c r="B32" s="55" t="s">
        <v>199</v>
      </c>
      <c r="C32" s="56" t="s">
        <v>200</v>
      </c>
      <c r="D32" s="57" t="s">
        <v>19</v>
      </c>
      <c r="E32" s="58" t="s">
        <v>201</v>
      </c>
      <c r="F32" s="59">
        <v>10000</v>
      </c>
      <c r="G32" s="60" t="s">
        <v>202</v>
      </c>
      <c r="H32" s="61"/>
      <c r="I32" s="62">
        <v>5000</v>
      </c>
      <c r="J32" s="62">
        <v>0</v>
      </c>
      <c r="K32" s="62">
        <v>5000</v>
      </c>
      <c r="L32" s="63"/>
      <c r="M32" s="64"/>
      <c r="N32" s="65"/>
      <c r="O32" s="66"/>
      <c r="P32" s="65"/>
      <c r="Q32" s="66"/>
      <c r="R32" s="62"/>
      <c r="S32" s="67"/>
      <c r="T32" s="68">
        <f t="shared" si="0"/>
        <v>5000</v>
      </c>
      <c r="U32" s="68"/>
      <c r="V32" s="68">
        <f t="shared" si="2"/>
        <v>5000</v>
      </c>
    </row>
    <row r="33" spans="1:22" s="52" customFormat="1" ht="39" x14ac:dyDescent="0.2">
      <c r="A33" s="37">
        <v>241207</v>
      </c>
      <c r="B33" s="38" t="s">
        <v>121</v>
      </c>
      <c r="C33" s="39" t="s">
        <v>203</v>
      </c>
      <c r="D33" s="40" t="s">
        <v>108</v>
      </c>
      <c r="E33" s="41" t="s">
        <v>204</v>
      </c>
      <c r="F33" s="42">
        <v>580000</v>
      </c>
      <c r="G33" s="53" t="s">
        <v>110</v>
      </c>
      <c r="H33" s="44"/>
      <c r="I33" s="45">
        <v>29000</v>
      </c>
      <c r="J33" s="45">
        <v>522000</v>
      </c>
      <c r="K33" s="45">
        <v>29000</v>
      </c>
      <c r="L33" s="46"/>
      <c r="M33" s="47"/>
      <c r="N33" s="48"/>
      <c r="O33" s="49" t="s">
        <v>205</v>
      </c>
      <c r="P33" s="48">
        <v>522000</v>
      </c>
      <c r="Q33" s="49"/>
      <c r="R33" s="45"/>
      <c r="S33" s="50"/>
      <c r="T33" s="51">
        <f t="shared" si="0"/>
        <v>29000</v>
      </c>
      <c r="U33" s="51">
        <f t="shared" si="1"/>
        <v>0</v>
      </c>
      <c r="V33" s="51">
        <f t="shared" si="2"/>
        <v>29000</v>
      </c>
    </row>
    <row r="34" spans="1:22" s="52" customFormat="1" ht="39" x14ac:dyDescent="0.2">
      <c r="A34" s="37">
        <v>241222</v>
      </c>
      <c r="B34" s="38" t="s">
        <v>115</v>
      </c>
      <c r="C34" s="39" t="s">
        <v>206</v>
      </c>
      <c r="D34" s="40" t="s">
        <v>117</v>
      </c>
      <c r="E34" s="41" t="s">
        <v>207</v>
      </c>
      <c r="F34" s="42">
        <v>10000</v>
      </c>
      <c r="G34" s="43" t="s">
        <v>119</v>
      </c>
      <c r="H34" s="44"/>
      <c r="I34" s="45">
        <v>500</v>
      </c>
      <c r="J34" s="45">
        <v>9000</v>
      </c>
      <c r="K34" s="45">
        <v>500</v>
      </c>
      <c r="L34" s="46"/>
      <c r="M34" s="47"/>
      <c r="N34" s="48"/>
      <c r="O34" s="49" t="s">
        <v>208</v>
      </c>
      <c r="P34" s="48">
        <v>9000</v>
      </c>
      <c r="Q34" s="49"/>
      <c r="R34" s="45"/>
      <c r="S34" s="50"/>
      <c r="T34" s="51">
        <f t="shared" si="0"/>
        <v>500</v>
      </c>
      <c r="U34" s="51">
        <f t="shared" si="1"/>
        <v>0</v>
      </c>
      <c r="V34" s="51">
        <f t="shared" si="2"/>
        <v>500</v>
      </c>
    </row>
    <row r="35" spans="1:22" s="52" customFormat="1" ht="39" x14ac:dyDescent="0.2">
      <c r="A35" s="37">
        <v>241235</v>
      </c>
      <c r="B35" s="38" t="s">
        <v>209</v>
      </c>
      <c r="C35" s="39" t="s">
        <v>210</v>
      </c>
      <c r="D35" s="40" t="s">
        <v>22</v>
      </c>
      <c r="E35" s="41" t="s">
        <v>211</v>
      </c>
      <c r="F35" s="42">
        <v>62280</v>
      </c>
      <c r="G35" s="43" t="s">
        <v>212</v>
      </c>
      <c r="H35" s="44"/>
      <c r="I35" s="45">
        <v>0</v>
      </c>
      <c r="J35" s="45">
        <v>62280</v>
      </c>
      <c r="K35" s="45">
        <v>0</v>
      </c>
      <c r="L35" s="46"/>
      <c r="M35" s="47"/>
      <c r="N35" s="48"/>
      <c r="O35" s="49" t="s">
        <v>213</v>
      </c>
      <c r="P35" s="48">
        <v>62280</v>
      </c>
      <c r="Q35" s="49"/>
      <c r="R35" s="45"/>
      <c r="S35" s="50"/>
      <c r="T35" s="51">
        <f t="shared" si="0"/>
        <v>0</v>
      </c>
      <c r="U35" s="51">
        <f t="shared" si="1"/>
        <v>0</v>
      </c>
      <c r="V35" s="51">
        <f t="shared" si="2"/>
        <v>0</v>
      </c>
    </row>
    <row r="36" spans="1:22" s="52" customFormat="1" ht="39" x14ac:dyDescent="0.2">
      <c r="A36" s="37">
        <v>241241</v>
      </c>
      <c r="B36" s="38" t="s">
        <v>214</v>
      </c>
      <c r="C36" s="39" t="s">
        <v>215</v>
      </c>
      <c r="D36" s="40" t="s">
        <v>22</v>
      </c>
      <c r="E36" s="41" t="s">
        <v>216</v>
      </c>
      <c r="F36" s="42">
        <v>91000</v>
      </c>
      <c r="G36" s="43" t="s">
        <v>212</v>
      </c>
      <c r="H36" s="44"/>
      <c r="I36" s="45">
        <v>0</v>
      </c>
      <c r="J36" s="45">
        <v>91000</v>
      </c>
      <c r="K36" s="45">
        <v>0</v>
      </c>
      <c r="L36" s="46"/>
      <c r="M36" s="47"/>
      <c r="N36" s="48"/>
      <c r="O36" s="49" t="s">
        <v>217</v>
      </c>
      <c r="P36" s="48">
        <v>91000</v>
      </c>
      <c r="Q36" s="49"/>
      <c r="R36" s="45"/>
      <c r="S36" s="50"/>
      <c r="T36" s="51">
        <f t="shared" si="0"/>
        <v>0</v>
      </c>
      <c r="U36" s="51">
        <f t="shared" si="1"/>
        <v>0</v>
      </c>
      <c r="V36" s="51">
        <f t="shared" si="2"/>
        <v>0</v>
      </c>
    </row>
    <row r="37" spans="1:22" s="52" customFormat="1" ht="58.5" x14ac:dyDescent="0.2">
      <c r="A37" s="37">
        <v>241268</v>
      </c>
      <c r="B37" s="38" t="s">
        <v>111</v>
      </c>
      <c r="C37" s="39" t="s">
        <v>218</v>
      </c>
      <c r="D37" s="40" t="s">
        <v>19</v>
      </c>
      <c r="E37" s="41" t="s">
        <v>219</v>
      </c>
      <c r="F37" s="42">
        <v>1750000</v>
      </c>
      <c r="G37" s="53" t="s">
        <v>110</v>
      </c>
      <c r="H37" s="44"/>
      <c r="I37" s="45">
        <v>87500</v>
      </c>
      <c r="J37" s="45">
        <v>1575000</v>
      </c>
      <c r="K37" s="45">
        <v>87500</v>
      </c>
      <c r="L37" s="46"/>
      <c r="M37" s="47"/>
      <c r="N37" s="48"/>
      <c r="O37" s="49" t="s">
        <v>220</v>
      </c>
      <c r="P37" s="48">
        <v>1575000</v>
      </c>
      <c r="Q37" s="49"/>
      <c r="R37" s="45"/>
      <c r="S37" s="50"/>
      <c r="T37" s="51">
        <f t="shared" si="0"/>
        <v>87500</v>
      </c>
      <c r="U37" s="51">
        <f t="shared" si="1"/>
        <v>0</v>
      </c>
      <c r="V37" s="51">
        <f t="shared" si="2"/>
        <v>87500</v>
      </c>
    </row>
    <row r="38" spans="1:22" s="52" customFormat="1" ht="78" x14ac:dyDescent="0.2">
      <c r="A38" s="37">
        <v>241269</v>
      </c>
      <c r="B38" s="38" t="s">
        <v>221</v>
      </c>
      <c r="C38" s="39" t="s">
        <v>222</v>
      </c>
      <c r="D38" s="40" t="s">
        <v>19</v>
      </c>
      <c r="E38" s="41" t="s">
        <v>223</v>
      </c>
      <c r="F38" s="42">
        <v>57000</v>
      </c>
      <c r="G38" s="43" t="s">
        <v>119</v>
      </c>
      <c r="H38" s="44"/>
      <c r="I38" s="45">
        <v>2850</v>
      </c>
      <c r="J38" s="45">
        <v>51300</v>
      </c>
      <c r="K38" s="45">
        <v>2850</v>
      </c>
      <c r="L38" s="46"/>
      <c r="M38" s="47"/>
      <c r="N38" s="48"/>
      <c r="O38" s="49"/>
      <c r="P38" s="48"/>
      <c r="Q38" s="49"/>
      <c r="R38" s="45"/>
      <c r="S38" s="50"/>
      <c r="T38" s="51">
        <f t="shared" si="0"/>
        <v>2850</v>
      </c>
      <c r="U38" s="51">
        <f t="shared" si="1"/>
        <v>51300</v>
      </c>
      <c r="V38" s="51">
        <f t="shared" si="2"/>
        <v>2850</v>
      </c>
    </row>
    <row r="39" spans="1:22" s="109" customFormat="1" ht="78" x14ac:dyDescent="0.2">
      <c r="A39" s="95">
        <v>241277</v>
      </c>
      <c r="B39" s="95" t="s">
        <v>185</v>
      </c>
      <c r="C39" s="96" t="s">
        <v>224</v>
      </c>
      <c r="D39" s="97" t="s">
        <v>19</v>
      </c>
      <c r="E39" s="98" t="s">
        <v>225</v>
      </c>
      <c r="F39" s="99">
        <v>570000</v>
      </c>
      <c r="G39" s="100" t="s">
        <v>119</v>
      </c>
      <c r="H39" s="101"/>
      <c r="I39" s="102">
        <v>28500</v>
      </c>
      <c r="J39" s="102">
        <v>513000</v>
      </c>
      <c r="K39" s="102">
        <v>28500</v>
      </c>
      <c r="L39" s="103"/>
      <c r="M39" s="104"/>
      <c r="N39" s="105"/>
      <c r="O39" s="106" t="s">
        <v>226</v>
      </c>
      <c r="P39" s="105">
        <v>513000</v>
      </c>
      <c r="Q39" s="106"/>
      <c r="R39" s="102"/>
      <c r="S39" s="107"/>
      <c r="T39" s="108">
        <f>+I39-N39</f>
        <v>28500</v>
      </c>
      <c r="U39" s="108">
        <f>+J39-P39</f>
        <v>0</v>
      </c>
      <c r="V39" s="108">
        <f>+K39-R39</f>
        <v>28500</v>
      </c>
    </row>
    <row r="40" spans="1:22" s="109" customFormat="1" ht="39" x14ac:dyDescent="0.2">
      <c r="A40" s="95">
        <v>241296</v>
      </c>
      <c r="B40" s="95" t="s">
        <v>159</v>
      </c>
      <c r="C40" s="96" t="s">
        <v>227</v>
      </c>
      <c r="D40" s="97" t="s">
        <v>161</v>
      </c>
      <c r="E40" s="98" t="s">
        <v>228</v>
      </c>
      <c r="F40" s="99">
        <v>771400</v>
      </c>
      <c r="G40" s="100" t="s">
        <v>119</v>
      </c>
      <c r="H40" s="101"/>
      <c r="I40" s="102">
        <v>0</v>
      </c>
      <c r="J40" s="102">
        <v>771400</v>
      </c>
      <c r="K40" s="102">
        <v>0</v>
      </c>
      <c r="L40" s="103"/>
      <c r="M40" s="104"/>
      <c r="N40" s="105"/>
      <c r="O40" s="106" t="s">
        <v>229</v>
      </c>
      <c r="P40" s="105">
        <v>771400</v>
      </c>
      <c r="Q40" s="106"/>
      <c r="R40" s="102"/>
      <c r="S40" s="107"/>
      <c r="T40" s="108">
        <f>+I40-N40</f>
        <v>0</v>
      </c>
      <c r="U40" s="108">
        <f>+J40-P40</f>
        <v>0</v>
      </c>
      <c r="V40" s="108">
        <f>+K40-R40</f>
        <v>0</v>
      </c>
    </row>
    <row r="41" spans="1:22" s="109" customFormat="1" ht="78" x14ac:dyDescent="0.2">
      <c r="A41" s="95">
        <v>241331</v>
      </c>
      <c r="B41" s="95" t="s">
        <v>121</v>
      </c>
      <c r="C41" s="96" t="s">
        <v>230</v>
      </c>
      <c r="D41" s="97" t="s">
        <v>108</v>
      </c>
      <c r="E41" s="98" t="s">
        <v>231</v>
      </c>
      <c r="F41" s="99">
        <v>464000</v>
      </c>
      <c r="G41" s="100" t="s">
        <v>119</v>
      </c>
      <c r="H41" s="101"/>
      <c r="I41" s="102">
        <v>23200</v>
      </c>
      <c r="J41" s="102">
        <v>417600</v>
      </c>
      <c r="K41" s="102">
        <v>23200</v>
      </c>
      <c r="L41" s="103"/>
      <c r="M41" s="104"/>
      <c r="N41" s="105"/>
      <c r="O41" s="106" t="s">
        <v>232</v>
      </c>
      <c r="P41" s="105">
        <v>417600</v>
      </c>
      <c r="Q41" s="106"/>
      <c r="R41" s="102"/>
      <c r="S41" s="107"/>
      <c r="T41" s="108">
        <f>+I41-N41</f>
        <v>23200</v>
      </c>
      <c r="U41" s="108">
        <f>+J41-P41</f>
        <v>0</v>
      </c>
      <c r="V41" s="108">
        <f>+K41-R41</f>
        <v>23200</v>
      </c>
    </row>
    <row r="42" spans="1:22" s="109" customFormat="1" ht="39" x14ac:dyDescent="0.2">
      <c r="A42" s="95">
        <v>241331</v>
      </c>
      <c r="B42" s="95" t="s">
        <v>170</v>
      </c>
      <c r="C42" s="96" t="s">
        <v>233</v>
      </c>
      <c r="D42" s="97" t="s">
        <v>22</v>
      </c>
      <c r="E42" s="98" t="s">
        <v>234</v>
      </c>
      <c r="F42" s="99">
        <v>113430</v>
      </c>
      <c r="G42" s="110" t="s">
        <v>173</v>
      </c>
      <c r="H42" s="101"/>
      <c r="I42" s="102">
        <v>0</v>
      </c>
      <c r="J42" s="102">
        <v>113430</v>
      </c>
      <c r="K42" s="102">
        <v>0</v>
      </c>
      <c r="L42" s="103"/>
      <c r="M42" s="104"/>
      <c r="N42" s="105"/>
      <c r="O42" s="106" t="s">
        <v>235</v>
      </c>
      <c r="P42" s="105">
        <v>113430</v>
      </c>
      <c r="Q42" s="106"/>
      <c r="R42" s="102"/>
      <c r="S42" s="107"/>
      <c r="T42" s="108">
        <f>+I42-N42</f>
        <v>0</v>
      </c>
      <c r="U42" s="108">
        <f>+J42-P42</f>
        <v>0</v>
      </c>
      <c r="V42" s="108">
        <f>+K42-R42</f>
        <v>0</v>
      </c>
    </row>
    <row r="43" spans="1:22" s="109" customFormat="1" ht="97.5" x14ac:dyDescent="0.2">
      <c r="A43" s="95">
        <v>241331</v>
      </c>
      <c r="B43" s="95" t="s">
        <v>192</v>
      </c>
      <c r="C43" s="96" t="s">
        <v>193</v>
      </c>
      <c r="D43" s="97" t="s">
        <v>22</v>
      </c>
      <c r="E43" s="98" t="s">
        <v>236</v>
      </c>
      <c r="F43" s="99">
        <v>210000</v>
      </c>
      <c r="G43" s="110" t="s">
        <v>110</v>
      </c>
      <c r="H43" s="101"/>
      <c r="I43" s="102">
        <v>0</v>
      </c>
      <c r="J43" s="102">
        <v>0</v>
      </c>
      <c r="K43" s="102">
        <v>210000</v>
      </c>
      <c r="L43" s="103"/>
      <c r="M43" s="104"/>
      <c r="N43" s="105"/>
      <c r="O43" s="106"/>
      <c r="P43" s="105"/>
      <c r="Q43" s="106"/>
      <c r="R43" s="102"/>
      <c r="S43" s="107"/>
      <c r="T43" s="108">
        <f>+I43-N43</f>
        <v>0</v>
      </c>
      <c r="U43" s="108">
        <f>+J43-P43-P45</f>
        <v>0</v>
      </c>
      <c r="V43" s="108">
        <f>+K43-R43</f>
        <v>210000</v>
      </c>
    </row>
    <row r="44" spans="1:22" s="109" customFormat="1" ht="20.25" x14ac:dyDescent="0.2">
      <c r="A44" s="95"/>
      <c r="B44" s="95"/>
      <c r="C44" s="111" t="s">
        <v>237</v>
      </c>
      <c r="D44" s="97"/>
      <c r="E44" s="98"/>
      <c r="F44" s="99"/>
      <c r="G44" s="110"/>
      <c r="H44" s="101"/>
      <c r="I44" s="102"/>
      <c r="J44" s="102"/>
      <c r="K44" s="102"/>
      <c r="L44" s="103"/>
      <c r="M44" s="104"/>
      <c r="N44" s="105"/>
      <c r="O44" s="106"/>
      <c r="P44" s="105"/>
      <c r="Q44" s="106"/>
      <c r="R44" s="102"/>
      <c r="S44" s="107"/>
      <c r="T44" s="108"/>
      <c r="U44" s="108"/>
      <c r="V44" s="108"/>
    </row>
    <row r="45" spans="1:22" s="109" customFormat="1" ht="20.25" x14ac:dyDescent="0.2">
      <c r="A45" s="95"/>
      <c r="B45" s="95"/>
      <c r="C45" s="112" t="s">
        <v>238</v>
      </c>
      <c r="D45" s="97"/>
      <c r="E45" s="98"/>
      <c r="F45" s="99"/>
      <c r="G45" s="110"/>
      <c r="H45" s="101"/>
      <c r="I45" s="102"/>
      <c r="J45" s="102"/>
      <c r="K45" s="102"/>
      <c r="L45" s="103"/>
      <c r="M45" s="104"/>
      <c r="N45" s="105"/>
      <c r="O45" s="106"/>
      <c r="P45" s="105"/>
      <c r="Q45" s="106"/>
      <c r="R45" s="102"/>
      <c r="S45" s="107"/>
      <c r="T45" s="108"/>
      <c r="U45" s="108"/>
      <c r="V45" s="108"/>
    </row>
    <row r="46" spans="1:22" s="109" customFormat="1" ht="20.25" x14ac:dyDescent="0.2">
      <c r="A46" s="95"/>
      <c r="B46" s="95"/>
      <c r="C46" s="112" t="s">
        <v>239</v>
      </c>
      <c r="D46" s="97"/>
      <c r="E46" s="98"/>
      <c r="F46" s="99"/>
      <c r="G46" s="110"/>
      <c r="H46" s="101"/>
      <c r="I46" s="102"/>
      <c r="J46" s="102"/>
      <c r="K46" s="102"/>
      <c r="L46" s="103"/>
      <c r="M46" s="104"/>
      <c r="N46" s="105"/>
      <c r="O46" s="106"/>
      <c r="P46" s="105"/>
      <c r="Q46" s="106"/>
      <c r="R46" s="102"/>
      <c r="S46" s="107"/>
      <c r="T46" s="108"/>
      <c r="U46" s="108"/>
      <c r="V46" s="108"/>
    </row>
    <row r="47" spans="1:22" s="109" customFormat="1" ht="78" x14ac:dyDescent="0.2">
      <c r="A47" s="95">
        <v>241332</v>
      </c>
      <c r="B47" s="95" t="s">
        <v>221</v>
      </c>
      <c r="C47" s="96" t="s">
        <v>240</v>
      </c>
      <c r="D47" s="97" t="s">
        <v>19</v>
      </c>
      <c r="E47" s="98" t="s">
        <v>241</v>
      </c>
      <c r="F47" s="99">
        <v>76000</v>
      </c>
      <c r="G47" s="100" t="s">
        <v>119</v>
      </c>
      <c r="H47" s="101"/>
      <c r="I47" s="102">
        <v>4300</v>
      </c>
      <c r="J47" s="102">
        <v>77400</v>
      </c>
      <c r="K47" s="102">
        <v>4300</v>
      </c>
      <c r="L47" s="103"/>
      <c r="M47" s="104"/>
      <c r="N47" s="105"/>
      <c r="O47" s="106" t="s">
        <v>242</v>
      </c>
      <c r="P47" s="105">
        <v>77400</v>
      </c>
      <c r="Q47" s="106"/>
      <c r="R47" s="102"/>
      <c r="S47" s="107"/>
      <c r="T47" s="108">
        <f>+I47-N47</f>
        <v>4300</v>
      </c>
      <c r="U47" s="108">
        <f>+J47-P47</f>
        <v>0</v>
      </c>
      <c r="V47" s="108">
        <f>+K47-R47</f>
        <v>4300</v>
      </c>
    </row>
    <row r="48" spans="1:22" s="109" customFormat="1" ht="78" x14ac:dyDescent="0.2">
      <c r="A48" s="95"/>
      <c r="B48" s="95"/>
      <c r="C48" s="96" t="s">
        <v>243</v>
      </c>
      <c r="D48" s="97" t="s">
        <v>19</v>
      </c>
      <c r="E48" s="98" t="s">
        <v>241</v>
      </c>
      <c r="F48" s="99">
        <f>4000+3000+3000</f>
        <v>10000</v>
      </c>
      <c r="G48" s="100" t="s">
        <v>119</v>
      </c>
      <c r="H48" s="101"/>
      <c r="I48" s="102"/>
      <c r="J48" s="102"/>
      <c r="K48" s="102"/>
      <c r="L48" s="103"/>
      <c r="M48" s="104"/>
      <c r="N48" s="105"/>
      <c r="O48" s="106"/>
      <c r="P48" s="105"/>
      <c r="Q48" s="106"/>
      <c r="R48" s="102"/>
      <c r="S48" s="107"/>
      <c r="T48" s="108"/>
      <c r="U48" s="108"/>
      <c r="V48" s="108"/>
    </row>
    <row r="49" spans="1:22" s="109" customFormat="1" ht="58.5" x14ac:dyDescent="0.2">
      <c r="A49" s="95">
        <v>241333</v>
      </c>
      <c r="B49" s="95" t="s">
        <v>111</v>
      </c>
      <c r="C49" s="96" t="s">
        <v>244</v>
      </c>
      <c r="D49" s="97" t="s">
        <v>19</v>
      </c>
      <c r="E49" s="98" t="s">
        <v>245</v>
      </c>
      <c r="F49" s="99">
        <v>1750000</v>
      </c>
      <c r="G49" s="110" t="s">
        <v>110</v>
      </c>
      <c r="H49" s="101"/>
      <c r="I49" s="102">
        <v>87500</v>
      </c>
      <c r="J49" s="102">
        <v>1575000</v>
      </c>
      <c r="K49" s="102">
        <v>87500</v>
      </c>
      <c r="L49" s="103"/>
      <c r="M49" s="104"/>
      <c r="N49" s="105"/>
      <c r="O49" s="106" t="s">
        <v>246</v>
      </c>
      <c r="P49" s="105">
        <v>1575000</v>
      </c>
      <c r="Q49" s="106"/>
      <c r="R49" s="102"/>
      <c r="S49" s="107"/>
      <c r="T49" s="108">
        <f t="shared" ref="T49:T50" si="3">+I49-N49</f>
        <v>87500</v>
      </c>
      <c r="U49" s="108">
        <f t="shared" ref="U49:U50" si="4">+J49-P49</f>
        <v>0</v>
      </c>
      <c r="V49" s="108">
        <f t="shared" ref="V49:V50" si="5">+K49-R49</f>
        <v>87500</v>
      </c>
    </row>
    <row r="50" spans="1:22" s="109" customFormat="1" ht="39" x14ac:dyDescent="0.2">
      <c r="A50" s="95">
        <v>241333</v>
      </c>
      <c r="B50" s="95" t="s">
        <v>115</v>
      </c>
      <c r="C50" s="96" t="s">
        <v>247</v>
      </c>
      <c r="D50" s="97" t="s">
        <v>117</v>
      </c>
      <c r="E50" s="98" t="s">
        <v>248</v>
      </c>
      <c r="F50" s="99">
        <v>130000</v>
      </c>
      <c r="G50" s="100" t="s">
        <v>119</v>
      </c>
      <c r="H50" s="101"/>
      <c r="I50" s="102">
        <v>6500</v>
      </c>
      <c r="J50" s="102">
        <v>117000</v>
      </c>
      <c r="K50" s="102">
        <v>6500</v>
      </c>
      <c r="L50" s="103"/>
      <c r="M50" s="104"/>
      <c r="N50" s="105"/>
      <c r="O50" s="106" t="s">
        <v>249</v>
      </c>
      <c r="P50" s="105">
        <v>117000</v>
      </c>
      <c r="Q50" s="106"/>
      <c r="R50" s="102"/>
      <c r="S50" s="107"/>
      <c r="T50" s="108">
        <f t="shared" si="3"/>
        <v>6500</v>
      </c>
      <c r="U50" s="108">
        <f t="shared" si="4"/>
        <v>0</v>
      </c>
      <c r="V50" s="108">
        <f t="shared" si="5"/>
        <v>6500</v>
      </c>
    </row>
    <row r="51" spans="1:22" x14ac:dyDescent="0.4">
      <c r="A51" s="70"/>
      <c r="B51" s="71"/>
      <c r="C51" s="71"/>
      <c r="D51" s="72"/>
      <c r="E51" s="73"/>
      <c r="F51" s="74"/>
      <c r="G51" s="75"/>
      <c r="H51" s="76"/>
      <c r="I51" s="33"/>
      <c r="J51" s="33"/>
      <c r="K51" s="33"/>
      <c r="L51" s="77"/>
      <c r="M51" s="78"/>
      <c r="N51" s="79"/>
      <c r="O51" s="32"/>
      <c r="P51" s="79"/>
      <c r="Q51" s="32"/>
      <c r="R51" s="33"/>
      <c r="S51" s="80"/>
      <c r="T51" s="81">
        <f t="shared" si="0"/>
        <v>0</v>
      </c>
      <c r="U51" s="81">
        <f t="shared" si="1"/>
        <v>0</v>
      </c>
      <c r="V51" s="81">
        <f t="shared" si="2"/>
        <v>0</v>
      </c>
    </row>
    <row r="52" spans="1:22" x14ac:dyDescent="0.4">
      <c r="A52" s="70"/>
      <c r="B52" s="71"/>
      <c r="C52" s="71"/>
      <c r="D52" s="72"/>
      <c r="E52" s="73"/>
      <c r="F52" s="74"/>
      <c r="G52" s="75"/>
      <c r="H52" s="76"/>
      <c r="I52" s="33"/>
      <c r="J52" s="33"/>
      <c r="K52" s="33"/>
      <c r="L52" s="77"/>
      <c r="M52" s="78"/>
      <c r="N52" s="79"/>
      <c r="O52" s="32"/>
      <c r="P52" s="79"/>
      <c r="Q52" s="32"/>
      <c r="R52" s="33"/>
      <c r="S52" s="80"/>
      <c r="T52" s="81"/>
      <c r="U52" s="81"/>
      <c r="V52" s="81"/>
    </row>
    <row r="53" spans="1:22" s="12" customFormat="1" ht="21" thickBot="1" x14ac:dyDescent="0.5">
      <c r="A53" s="82"/>
      <c r="B53" s="82"/>
      <c r="C53" s="82"/>
      <c r="D53" s="82"/>
      <c r="E53" s="82"/>
      <c r="F53" s="83">
        <f>SUM(F6:F52)</f>
        <v>15387151.51</v>
      </c>
      <c r="G53" s="84"/>
      <c r="H53" s="85"/>
      <c r="I53" s="83">
        <f>SUM(I6:I52)</f>
        <v>715341.51</v>
      </c>
      <c r="J53" s="83">
        <f>SUM(J6:J52)</f>
        <v>13770035</v>
      </c>
      <c r="K53" s="83">
        <f>SUM(K6:K52)</f>
        <v>901775</v>
      </c>
      <c r="L53" s="86"/>
      <c r="M53" s="87"/>
      <c r="N53" s="83">
        <f>SUM(N5:N52)</f>
        <v>0</v>
      </c>
      <c r="O53" s="87"/>
      <c r="P53" s="83">
        <f>SUM(P5:P52)</f>
        <v>13498235</v>
      </c>
      <c r="Q53" s="88"/>
      <c r="R53" s="83">
        <f>SUM(R5:R52)</f>
        <v>0</v>
      </c>
      <c r="S53" s="89"/>
      <c r="T53" s="83">
        <f>SUM(T5:T52)</f>
        <v>1022135.71</v>
      </c>
      <c r="U53" s="83">
        <f t="shared" ref="U53:V53" si="6">SUM(U5:U52)</f>
        <v>286800</v>
      </c>
      <c r="V53" s="83">
        <f t="shared" si="6"/>
        <v>901775</v>
      </c>
    </row>
    <row r="54" spans="1:22" ht="20.25" thickTop="1" x14ac:dyDescent="0.4">
      <c r="K54" s="92">
        <f>+F53-I53-J53-K53</f>
        <v>0</v>
      </c>
      <c r="L54" s="92"/>
    </row>
    <row r="55" spans="1:22" x14ac:dyDescent="0.4">
      <c r="A55" s="8"/>
      <c r="R55" s="93"/>
      <c r="S55" s="93"/>
      <c r="T55" s="93"/>
      <c r="U55" s="93"/>
      <c r="V55" s="93"/>
    </row>
    <row r="56" spans="1:22" ht="21" x14ac:dyDescent="0.45">
      <c r="A56" s="8"/>
      <c r="B56" s="4" t="s">
        <v>85</v>
      </c>
      <c r="C56" s="5" t="s">
        <v>86</v>
      </c>
      <c r="D56" s="8"/>
      <c r="E56" s="8"/>
      <c r="U56" s="91"/>
    </row>
    <row r="57" spans="1:22" ht="21" x14ac:dyDescent="0.45">
      <c r="A57" s="8"/>
      <c r="B57" s="4" t="s">
        <v>3</v>
      </c>
      <c r="C57" s="5" t="s">
        <v>87</v>
      </c>
      <c r="D57" s="8"/>
      <c r="E57" s="8"/>
      <c r="U57" s="94"/>
    </row>
    <row r="58" spans="1:22" ht="21" x14ac:dyDescent="0.45">
      <c r="A58" s="8"/>
      <c r="B58" s="4" t="s">
        <v>88</v>
      </c>
      <c r="C58" s="5" t="s">
        <v>89</v>
      </c>
      <c r="D58" s="8"/>
      <c r="E58" s="8"/>
      <c r="U58" s="94"/>
    </row>
    <row r="59" spans="1:22" ht="21" x14ac:dyDescent="0.45">
      <c r="A59" s="8"/>
      <c r="B59" s="4" t="s">
        <v>90</v>
      </c>
      <c r="C59" s="5" t="s">
        <v>91</v>
      </c>
      <c r="D59" s="8"/>
      <c r="E59" s="8"/>
    </row>
    <row r="60" spans="1:22" ht="21" x14ac:dyDescent="0.45">
      <c r="A60" s="8"/>
      <c r="B60" s="4" t="s">
        <v>92</v>
      </c>
      <c r="C60" s="297" t="s">
        <v>93</v>
      </c>
      <c r="D60" s="8"/>
      <c r="E60" s="8"/>
    </row>
  </sheetData>
  <mergeCells count="19">
    <mergeCell ref="A1:G1"/>
    <mergeCell ref="A2:A4"/>
    <mergeCell ref="B2:B4"/>
    <mergeCell ref="C2:C4"/>
    <mergeCell ref="D2:D4"/>
    <mergeCell ref="E2:E4"/>
    <mergeCell ref="F2:F4"/>
    <mergeCell ref="G2:G4"/>
    <mergeCell ref="V3:V4"/>
    <mergeCell ref="I2:K2"/>
    <mergeCell ref="M2:R2"/>
    <mergeCell ref="T2:V2"/>
    <mergeCell ref="I3:J3"/>
    <mergeCell ref="K3:K4"/>
    <mergeCell ref="M3:N3"/>
    <mergeCell ref="O3:P3"/>
    <mergeCell ref="Q3:R3"/>
    <mergeCell ref="T3:T4"/>
    <mergeCell ref="U3:U4"/>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5"/>
  <sheetViews>
    <sheetView topLeftCell="A46" workbookViewId="0">
      <selection activeCell="A3" sqref="A3:I3"/>
    </sheetView>
  </sheetViews>
  <sheetFormatPr defaultRowHeight="21" x14ac:dyDescent="0.45"/>
  <cols>
    <col min="1" max="1" width="8.375" style="2" customWidth="1"/>
    <col min="2" max="2" width="12.375" style="2" customWidth="1"/>
    <col min="3" max="3" width="12.625" style="2" customWidth="1"/>
    <col min="4" max="4" width="11.25" style="3" customWidth="1"/>
    <col min="5" max="5" width="56.375" style="3" customWidth="1"/>
    <col min="6" max="6" width="10.5" style="3" bestFit="1" customWidth="1"/>
    <col min="7" max="7" width="10.375" style="3" bestFit="1" customWidth="1"/>
    <col min="8" max="8" width="9.375" style="1" bestFit="1" customWidth="1"/>
    <col min="9" max="9" width="8.625" style="1" bestFit="1" customWidth="1"/>
    <col min="10" max="10" width="9.75" style="1" customWidth="1"/>
    <col min="11" max="11" width="17.25" style="1" customWidth="1"/>
    <col min="12" max="12" width="13.5" style="1" customWidth="1"/>
    <col min="13" max="13" width="10" style="1" customWidth="1"/>
    <col min="14" max="15" width="9.5" style="1" customWidth="1"/>
    <col min="16" max="16" width="11.25" style="1" customWidth="1"/>
    <col min="17" max="17" width="106.5" style="1" customWidth="1"/>
    <col min="18" max="16384" width="9" style="1"/>
  </cols>
  <sheetData>
    <row r="1" spans="1:16" x14ac:dyDescent="0.45">
      <c r="A1" s="632" t="s">
        <v>0</v>
      </c>
      <c r="B1" s="632"/>
      <c r="C1" s="632"/>
      <c r="D1" s="632"/>
      <c r="E1" s="632"/>
      <c r="F1" s="632"/>
      <c r="G1" s="632"/>
      <c r="H1" s="632"/>
      <c r="I1" s="632"/>
      <c r="J1" s="205"/>
      <c r="K1" s="205"/>
      <c r="L1" s="205"/>
      <c r="M1" s="205"/>
      <c r="N1" s="205"/>
      <c r="O1" s="205"/>
      <c r="P1" s="205"/>
    </row>
    <row r="2" spans="1:16" s="177" customFormat="1" x14ac:dyDescent="0.2">
      <c r="A2" s="635" t="s">
        <v>1</v>
      </c>
      <c r="B2" s="635" t="s">
        <v>2</v>
      </c>
      <c r="C2" s="635" t="s">
        <v>789</v>
      </c>
      <c r="D2" s="633" t="s">
        <v>3</v>
      </c>
      <c r="E2" s="633" t="s">
        <v>90</v>
      </c>
      <c r="F2" s="633" t="s">
        <v>4</v>
      </c>
      <c r="G2" s="634" t="s">
        <v>5</v>
      </c>
      <c r="H2" s="634"/>
      <c r="I2" s="634"/>
    </row>
    <row r="3" spans="1:16" s="177" customFormat="1" x14ac:dyDescent="0.2">
      <c r="A3" s="635"/>
      <c r="B3" s="635"/>
      <c r="C3" s="635"/>
      <c r="D3" s="633"/>
      <c r="E3" s="633"/>
      <c r="F3" s="633"/>
      <c r="G3" s="178" t="s">
        <v>8</v>
      </c>
      <c r="H3" s="178" t="s">
        <v>9</v>
      </c>
      <c r="I3" s="178" t="s">
        <v>3</v>
      </c>
    </row>
    <row r="4" spans="1:16" s="174" customFormat="1" x14ac:dyDescent="0.2">
      <c r="A4" s="179">
        <v>240606</v>
      </c>
      <c r="B4" s="180" t="s">
        <v>12</v>
      </c>
      <c r="C4" s="181" t="s">
        <v>846</v>
      </c>
      <c r="D4" s="186" t="s">
        <v>13</v>
      </c>
      <c r="E4" s="182" t="s">
        <v>14</v>
      </c>
      <c r="F4" s="186">
        <v>100000</v>
      </c>
      <c r="G4" s="186"/>
      <c r="H4" s="186">
        <v>50000</v>
      </c>
      <c r="I4" s="186">
        <v>50000</v>
      </c>
    </row>
    <row r="5" spans="1:16" s="174" customFormat="1" x14ac:dyDescent="0.2">
      <c r="A5" s="179">
        <v>240612</v>
      </c>
      <c r="B5" s="180" t="s">
        <v>15</v>
      </c>
      <c r="C5" s="181" t="s">
        <v>847</v>
      </c>
      <c r="D5" s="186" t="s">
        <v>16</v>
      </c>
      <c r="E5" s="182" t="s">
        <v>17</v>
      </c>
      <c r="F5" s="186">
        <f>466200+25900+25900</f>
        <v>518000</v>
      </c>
      <c r="G5" s="187">
        <f>+F5*90/100</f>
        <v>466200</v>
      </c>
      <c r="H5" s="187">
        <f t="shared" ref="H5:H11" si="0">+F5*0.05</f>
        <v>25900</v>
      </c>
      <c r="I5" s="187">
        <f t="shared" ref="I5:I11" si="1">+F5*0.05</f>
        <v>25900</v>
      </c>
    </row>
    <row r="6" spans="1:16" s="174" customFormat="1" x14ac:dyDescent="0.2">
      <c r="A6" s="179">
        <v>240618</v>
      </c>
      <c r="B6" s="180" t="s">
        <v>18</v>
      </c>
      <c r="C6" s="181" t="s">
        <v>848</v>
      </c>
      <c r="D6" s="186" t="s">
        <v>19</v>
      </c>
      <c r="E6" s="182" t="s">
        <v>20</v>
      </c>
      <c r="F6" s="186">
        <f>8756.25+26268.75</f>
        <v>35025</v>
      </c>
      <c r="G6" s="187">
        <v>0</v>
      </c>
      <c r="H6" s="187">
        <v>8756.25</v>
      </c>
      <c r="I6" s="187">
        <v>26268.75</v>
      </c>
    </row>
    <row r="7" spans="1:16" s="188" customFormat="1" x14ac:dyDescent="0.2">
      <c r="A7" s="179">
        <v>240624</v>
      </c>
      <c r="B7" s="180" t="s">
        <v>21</v>
      </c>
      <c r="C7" s="181" t="s">
        <v>849</v>
      </c>
      <c r="D7" s="186" t="s">
        <v>22</v>
      </c>
      <c r="E7" s="182" t="s">
        <v>23</v>
      </c>
      <c r="F7" s="186">
        <f>58212+3234+3234</f>
        <v>64680</v>
      </c>
      <c r="G7" s="187">
        <f>+F7*90/100</f>
        <v>58212</v>
      </c>
      <c r="H7" s="187">
        <f t="shared" si="0"/>
        <v>3234</v>
      </c>
      <c r="I7" s="187">
        <f t="shared" si="1"/>
        <v>3234</v>
      </c>
    </row>
    <row r="8" spans="1:16" s="188" customFormat="1" x14ac:dyDescent="0.2">
      <c r="A8" s="179">
        <v>240648</v>
      </c>
      <c r="B8" s="180" t="s">
        <v>24</v>
      </c>
      <c r="C8" s="181" t="s">
        <v>850</v>
      </c>
      <c r="D8" s="186" t="s">
        <v>16</v>
      </c>
      <c r="E8" s="182" t="s">
        <v>17</v>
      </c>
      <c r="F8" s="186">
        <f>942300+52350+52350</f>
        <v>1047000</v>
      </c>
      <c r="G8" s="187">
        <f>+F8*90/100</f>
        <v>942300</v>
      </c>
      <c r="H8" s="187">
        <f t="shared" si="0"/>
        <v>52350</v>
      </c>
      <c r="I8" s="187">
        <f t="shared" si="1"/>
        <v>52350</v>
      </c>
    </row>
    <row r="9" spans="1:16" s="188" customFormat="1" x14ac:dyDescent="0.2">
      <c r="A9" s="179">
        <v>240654</v>
      </c>
      <c r="B9" s="180" t="s">
        <v>25</v>
      </c>
      <c r="C9" s="181" t="s">
        <v>851</v>
      </c>
      <c r="D9" s="186" t="s">
        <v>16</v>
      </c>
      <c r="E9" s="182" t="s">
        <v>17</v>
      </c>
      <c r="F9" s="186">
        <f>539550+29975+29975</f>
        <v>599500</v>
      </c>
      <c r="G9" s="187">
        <f>+F9*90/100</f>
        <v>539550</v>
      </c>
      <c r="H9" s="187">
        <f t="shared" si="0"/>
        <v>29975</v>
      </c>
      <c r="I9" s="187">
        <f t="shared" si="1"/>
        <v>29975</v>
      </c>
    </row>
    <row r="10" spans="1:16" s="188" customFormat="1" x14ac:dyDescent="0.2">
      <c r="A10" s="179">
        <v>240665</v>
      </c>
      <c r="B10" s="180" t="s">
        <v>26</v>
      </c>
      <c r="C10" s="181" t="s">
        <v>852</v>
      </c>
      <c r="D10" s="186" t="s">
        <v>16</v>
      </c>
      <c r="E10" s="182" t="s">
        <v>17</v>
      </c>
      <c r="F10" s="186">
        <f>453600+25200+25200</f>
        <v>504000</v>
      </c>
      <c r="G10" s="187">
        <f>+F10*90/100</f>
        <v>453600</v>
      </c>
      <c r="H10" s="187">
        <f t="shared" si="0"/>
        <v>25200</v>
      </c>
      <c r="I10" s="187">
        <f t="shared" si="1"/>
        <v>25200</v>
      </c>
    </row>
    <row r="11" spans="1:16" s="188" customFormat="1" x14ac:dyDescent="0.2">
      <c r="A11" s="179">
        <v>240687</v>
      </c>
      <c r="B11" s="180" t="s">
        <v>27</v>
      </c>
      <c r="C11" s="181" t="s">
        <v>853</v>
      </c>
      <c r="D11" s="186" t="s">
        <v>16</v>
      </c>
      <c r="E11" s="182" t="s">
        <v>17</v>
      </c>
      <c r="F11" s="186">
        <f>190350+10575+10575</f>
        <v>211500</v>
      </c>
      <c r="G11" s="187">
        <f>+F11*90/100</f>
        <v>190350</v>
      </c>
      <c r="H11" s="187">
        <f t="shared" si="0"/>
        <v>10575</v>
      </c>
      <c r="I11" s="187">
        <f t="shared" si="1"/>
        <v>10575</v>
      </c>
    </row>
    <row r="12" spans="1:16" s="188" customFormat="1" x14ac:dyDescent="0.2">
      <c r="A12" s="179">
        <v>240690</v>
      </c>
      <c r="B12" s="180" t="s">
        <v>28</v>
      </c>
      <c r="C12" s="181" t="s">
        <v>854</v>
      </c>
      <c r="D12" s="186" t="s">
        <v>22</v>
      </c>
      <c r="E12" s="182" t="s">
        <v>29</v>
      </c>
      <c r="F12" s="186">
        <f>139720+15000+15000</f>
        <v>169720</v>
      </c>
      <c r="G12" s="187">
        <v>139720</v>
      </c>
      <c r="H12" s="187">
        <v>15000</v>
      </c>
      <c r="I12" s="187">
        <v>15000</v>
      </c>
    </row>
    <row r="13" spans="1:16" s="188" customFormat="1" ht="42" x14ac:dyDescent="0.2">
      <c r="A13" s="179">
        <v>240694</v>
      </c>
      <c r="B13" s="180" t="s">
        <v>30</v>
      </c>
      <c r="C13" s="181" t="s">
        <v>855</v>
      </c>
      <c r="D13" s="186" t="s">
        <v>22</v>
      </c>
      <c r="E13" s="182" t="s">
        <v>31</v>
      </c>
      <c r="F13" s="186">
        <v>62200</v>
      </c>
      <c r="G13" s="187">
        <f>+F13</f>
        <v>62200</v>
      </c>
      <c r="H13" s="187">
        <v>0</v>
      </c>
      <c r="I13" s="187">
        <v>0</v>
      </c>
    </row>
    <row r="14" spans="1:16" s="188" customFormat="1" x14ac:dyDescent="0.2">
      <c r="A14" s="179">
        <v>240695</v>
      </c>
      <c r="B14" s="180" t="s">
        <v>32</v>
      </c>
      <c r="C14" s="181" t="s">
        <v>856</v>
      </c>
      <c r="D14" s="186" t="s">
        <v>33</v>
      </c>
      <c r="E14" s="182" t="s">
        <v>34</v>
      </c>
      <c r="F14" s="186">
        <f>494700+26250+26250</f>
        <v>547200</v>
      </c>
      <c r="G14" s="187">
        <v>494700</v>
      </c>
      <c r="H14" s="187">
        <v>26250</v>
      </c>
      <c r="I14" s="187">
        <v>26250</v>
      </c>
    </row>
    <row r="15" spans="1:16" s="188" customFormat="1" x14ac:dyDescent="0.2">
      <c r="A15" s="179">
        <v>240722</v>
      </c>
      <c r="B15" s="180" t="s">
        <v>35</v>
      </c>
      <c r="C15" s="181" t="s">
        <v>857</v>
      </c>
      <c r="D15" s="186" t="s">
        <v>36</v>
      </c>
      <c r="E15" s="182" t="s">
        <v>34</v>
      </c>
      <c r="F15" s="186">
        <v>0</v>
      </c>
      <c r="G15" s="187">
        <f>492480-G14</f>
        <v>-2220</v>
      </c>
      <c r="H15" s="187">
        <f>27360-H14</f>
        <v>1110</v>
      </c>
      <c r="I15" s="187">
        <f>27360-I14</f>
        <v>1110</v>
      </c>
    </row>
    <row r="16" spans="1:16" s="188" customFormat="1" ht="42" x14ac:dyDescent="0.2">
      <c r="A16" s="179">
        <v>240701</v>
      </c>
      <c r="B16" s="180" t="s">
        <v>37</v>
      </c>
      <c r="C16" s="181" t="s">
        <v>858</v>
      </c>
      <c r="D16" s="186" t="s">
        <v>19</v>
      </c>
      <c r="E16" s="182" t="s">
        <v>38</v>
      </c>
      <c r="F16" s="186">
        <v>15792.5</v>
      </c>
      <c r="G16" s="187">
        <v>0</v>
      </c>
      <c r="H16" s="187">
        <f>+F16</f>
        <v>15792.5</v>
      </c>
      <c r="I16" s="187">
        <v>0</v>
      </c>
    </row>
    <row r="17" spans="1:9" s="188" customFormat="1" x14ac:dyDescent="0.2">
      <c r="A17" s="179">
        <v>240707</v>
      </c>
      <c r="B17" s="180" t="s">
        <v>39</v>
      </c>
      <c r="C17" s="181" t="s">
        <v>859</v>
      </c>
      <c r="D17" s="186" t="s">
        <v>16</v>
      </c>
      <c r="E17" s="182" t="s">
        <v>17</v>
      </c>
      <c r="F17" s="186">
        <f>211500+11750+11750</f>
        <v>235000</v>
      </c>
      <c r="G17" s="187">
        <f t="shared" ref="G17:G25" si="2">+F17*90/100</f>
        <v>211500</v>
      </c>
      <c r="H17" s="187">
        <f t="shared" ref="H17:H25" si="3">+F17*0.05</f>
        <v>11750</v>
      </c>
      <c r="I17" s="187">
        <f t="shared" ref="I17:I25" si="4">+F17*0.05</f>
        <v>11750</v>
      </c>
    </row>
    <row r="18" spans="1:9" s="188" customFormat="1" ht="42" x14ac:dyDescent="0.2">
      <c r="A18" s="179">
        <v>240717</v>
      </c>
      <c r="B18" s="180" t="s">
        <v>40</v>
      </c>
      <c r="C18" s="181" t="s">
        <v>860</v>
      </c>
      <c r="D18" s="180" t="s">
        <v>19</v>
      </c>
      <c r="E18" s="182" t="s">
        <v>41</v>
      </c>
      <c r="F18" s="187">
        <v>45000</v>
      </c>
      <c r="G18" s="187">
        <f t="shared" si="2"/>
        <v>40500</v>
      </c>
      <c r="H18" s="187">
        <f t="shared" si="3"/>
        <v>2250</v>
      </c>
      <c r="I18" s="187">
        <f t="shared" si="4"/>
        <v>2250</v>
      </c>
    </row>
    <row r="19" spans="1:9" s="188" customFormat="1" x14ac:dyDescent="0.2">
      <c r="A19" s="179">
        <v>240721</v>
      </c>
      <c r="B19" s="180" t="s">
        <v>42</v>
      </c>
      <c r="C19" s="181" t="s">
        <v>861</v>
      </c>
      <c r="D19" s="186" t="s">
        <v>16</v>
      </c>
      <c r="E19" s="182" t="s">
        <v>17</v>
      </c>
      <c r="F19" s="187">
        <v>185000</v>
      </c>
      <c r="G19" s="187">
        <f t="shared" si="2"/>
        <v>166500</v>
      </c>
      <c r="H19" s="187">
        <f t="shared" si="3"/>
        <v>9250</v>
      </c>
      <c r="I19" s="187">
        <f t="shared" si="4"/>
        <v>9250</v>
      </c>
    </row>
    <row r="20" spans="1:9" s="188" customFormat="1" ht="84" x14ac:dyDescent="0.2">
      <c r="A20" s="179">
        <v>240744</v>
      </c>
      <c r="B20" s="180" t="s">
        <v>43</v>
      </c>
      <c r="C20" s="181" t="s">
        <v>862</v>
      </c>
      <c r="D20" s="180" t="s">
        <v>19</v>
      </c>
      <c r="E20" s="189" t="s">
        <v>44</v>
      </c>
      <c r="F20" s="187">
        <v>163875</v>
      </c>
      <c r="G20" s="187">
        <f t="shared" si="2"/>
        <v>147487.5</v>
      </c>
      <c r="H20" s="187">
        <f t="shared" si="3"/>
        <v>8193.75</v>
      </c>
      <c r="I20" s="187">
        <f t="shared" si="4"/>
        <v>8193.75</v>
      </c>
    </row>
    <row r="21" spans="1:9" s="188" customFormat="1" ht="84" x14ac:dyDescent="0.2">
      <c r="A21" s="179">
        <v>240764</v>
      </c>
      <c r="B21" s="180" t="s">
        <v>45</v>
      </c>
      <c r="C21" s="181" t="s">
        <v>863</v>
      </c>
      <c r="D21" s="186" t="s">
        <v>22</v>
      </c>
      <c r="E21" s="182" t="s">
        <v>46</v>
      </c>
      <c r="F21" s="187">
        <v>27720</v>
      </c>
      <c r="G21" s="187">
        <f t="shared" si="2"/>
        <v>24948</v>
      </c>
      <c r="H21" s="187">
        <f t="shared" si="3"/>
        <v>1386</v>
      </c>
      <c r="I21" s="187">
        <f t="shared" si="4"/>
        <v>1386</v>
      </c>
    </row>
    <row r="22" spans="1:9" s="188" customFormat="1" x14ac:dyDescent="0.2">
      <c r="A22" s="179">
        <v>240779</v>
      </c>
      <c r="B22" s="180" t="s">
        <v>47</v>
      </c>
      <c r="C22" s="181" t="s">
        <v>864</v>
      </c>
      <c r="D22" s="186" t="s">
        <v>16</v>
      </c>
      <c r="E22" s="182" t="s">
        <v>17</v>
      </c>
      <c r="F22" s="187">
        <v>1500</v>
      </c>
      <c r="G22" s="187">
        <f t="shared" si="2"/>
        <v>1350</v>
      </c>
      <c r="H22" s="187">
        <f t="shared" si="3"/>
        <v>75</v>
      </c>
      <c r="I22" s="187">
        <f t="shared" si="4"/>
        <v>75</v>
      </c>
    </row>
    <row r="23" spans="1:9" s="188" customFormat="1" ht="42" x14ac:dyDescent="0.2">
      <c r="A23" s="179">
        <v>240783</v>
      </c>
      <c r="B23" s="180" t="s">
        <v>48</v>
      </c>
      <c r="C23" s="181" t="s">
        <v>865</v>
      </c>
      <c r="D23" s="180" t="s">
        <v>19</v>
      </c>
      <c r="E23" s="182" t="s">
        <v>49</v>
      </c>
      <c r="F23" s="187">
        <v>1750000</v>
      </c>
      <c r="G23" s="187">
        <f t="shared" si="2"/>
        <v>1575000</v>
      </c>
      <c r="H23" s="187">
        <f t="shared" si="3"/>
        <v>87500</v>
      </c>
      <c r="I23" s="187">
        <f t="shared" si="4"/>
        <v>87500</v>
      </c>
    </row>
    <row r="24" spans="1:9" s="188" customFormat="1" ht="84" x14ac:dyDescent="0.2">
      <c r="A24" s="179">
        <v>240790</v>
      </c>
      <c r="B24" s="180" t="s">
        <v>50</v>
      </c>
      <c r="C24" s="181" t="s">
        <v>866</v>
      </c>
      <c r="D24" s="180" t="s">
        <v>51</v>
      </c>
      <c r="E24" s="189" t="s">
        <v>52</v>
      </c>
      <c r="F24" s="187">
        <v>90000</v>
      </c>
      <c r="G24" s="187">
        <f t="shared" si="2"/>
        <v>81000</v>
      </c>
      <c r="H24" s="187">
        <f t="shared" si="3"/>
        <v>4500</v>
      </c>
      <c r="I24" s="187">
        <f t="shared" si="4"/>
        <v>4500</v>
      </c>
    </row>
    <row r="25" spans="1:9" s="188" customFormat="1" ht="84" x14ac:dyDescent="0.2">
      <c r="A25" s="179">
        <v>240790</v>
      </c>
      <c r="B25" s="180" t="s">
        <v>53</v>
      </c>
      <c r="C25" s="181" t="s">
        <v>867</v>
      </c>
      <c r="D25" s="180" t="s">
        <v>51</v>
      </c>
      <c r="E25" s="189" t="s">
        <v>54</v>
      </c>
      <c r="F25" s="187">
        <v>240000</v>
      </c>
      <c r="G25" s="187">
        <f t="shared" si="2"/>
        <v>216000</v>
      </c>
      <c r="H25" s="187">
        <f t="shared" si="3"/>
        <v>12000</v>
      </c>
      <c r="I25" s="187">
        <f t="shared" si="4"/>
        <v>12000</v>
      </c>
    </row>
    <row r="26" spans="1:9" s="188" customFormat="1" ht="84" x14ac:dyDescent="0.2">
      <c r="A26" s="179">
        <v>240820</v>
      </c>
      <c r="B26" s="180" t="s">
        <v>55</v>
      </c>
      <c r="C26" s="181" t="s">
        <v>868</v>
      </c>
      <c r="D26" s="186" t="s">
        <v>22</v>
      </c>
      <c r="E26" s="189" t="s">
        <v>56</v>
      </c>
      <c r="F26" s="187">
        <v>141000</v>
      </c>
      <c r="G26" s="187">
        <v>111000</v>
      </c>
      <c r="H26" s="187">
        <v>15000</v>
      </c>
      <c r="I26" s="187">
        <v>15000</v>
      </c>
    </row>
    <row r="27" spans="1:9" s="188" customFormat="1" ht="84" x14ac:dyDescent="0.2">
      <c r="A27" s="179">
        <v>240828</v>
      </c>
      <c r="B27" s="180" t="s">
        <v>57</v>
      </c>
      <c r="C27" s="181" t="s">
        <v>869</v>
      </c>
      <c r="D27" s="186" t="s">
        <v>22</v>
      </c>
      <c r="E27" s="189" t="s">
        <v>58</v>
      </c>
      <c r="F27" s="187">
        <v>141680</v>
      </c>
      <c r="G27" s="187">
        <f>+F27*90/100</f>
        <v>127512</v>
      </c>
      <c r="H27" s="187">
        <f>+F27*0.05</f>
        <v>7084</v>
      </c>
      <c r="I27" s="187">
        <f>+F27*0.05</f>
        <v>7084</v>
      </c>
    </row>
    <row r="28" spans="1:9" s="188" customFormat="1" ht="84" x14ac:dyDescent="0.2">
      <c r="A28" s="179">
        <v>240834</v>
      </c>
      <c r="B28" s="180" t="s">
        <v>59</v>
      </c>
      <c r="C28" s="181" t="s">
        <v>870</v>
      </c>
      <c r="D28" s="186" t="s">
        <v>33</v>
      </c>
      <c r="E28" s="189" t="s">
        <v>60</v>
      </c>
      <c r="F28" s="187">
        <v>1276800</v>
      </c>
      <c r="G28" s="187">
        <v>1226520</v>
      </c>
      <c r="H28" s="187">
        <v>25140</v>
      </c>
      <c r="I28" s="187">
        <v>25140</v>
      </c>
    </row>
    <row r="29" spans="1:9" s="188" customFormat="1" ht="63" x14ac:dyDescent="0.2">
      <c r="A29" s="179">
        <v>240850</v>
      </c>
      <c r="B29" s="180" t="s">
        <v>61</v>
      </c>
      <c r="C29" s="181" t="s">
        <v>871</v>
      </c>
      <c r="D29" s="186" t="s">
        <v>22</v>
      </c>
      <c r="E29" s="189" t="s">
        <v>62</v>
      </c>
      <c r="F29" s="187">
        <v>80000</v>
      </c>
      <c r="G29" s="187">
        <f>+F29*100/100</f>
        <v>80000</v>
      </c>
      <c r="H29" s="187">
        <v>0</v>
      </c>
      <c r="I29" s="187">
        <v>0</v>
      </c>
    </row>
    <row r="30" spans="1:9" s="188" customFormat="1" ht="63" x14ac:dyDescent="0.2">
      <c r="A30" s="179">
        <v>240850</v>
      </c>
      <c r="B30" s="180" t="s">
        <v>61</v>
      </c>
      <c r="C30" s="181" t="s">
        <v>871</v>
      </c>
      <c r="D30" s="186" t="s">
        <v>63</v>
      </c>
      <c r="E30" s="189" t="s">
        <v>62</v>
      </c>
      <c r="F30" s="187">
        <v>70000</v>
      </c>
      <c r="G30" s="187">
        <f>+F30*100/100</f>
        <v>70000</v>
      </c>
      <c r="H30" s="187">
        <v>0</v>
      </c>
      <c r="I30" s="187">
        <v>0</v>
      </c>
    </row>
    <row r="31" spans="1:9" s="188" customFormat="1" ht="63" x14ac:dyDescent="0.2">
      <c r="A31" s="179">
        <v>240863</v>
      </c>
      <c r="B31" s="180" t="s">
        <v>64</v>
      </c>
      <c r="C31" s="181" t="s">
        <v>872</v>
      </c>
      <c r="D31" s="186" t="s">
        <v>33</v>
      </c>
      <c r="E31" s="189" t="s">
        <v>65</v>
      </c>
      <c r="F31" s="187">
        <v>348000</v>
      </c>
      <c r="G31" s="187">
        <f>+F31*90/100</f>
        <v>313200</v>
      </c>
      <c r="H31" s="187">
        <f>+F31*0.05</f>
        <v>17400</v>
      </c>
      <c r="I31" s="187">
        <f>+F31*0.05</f>
        <v>17400</v>
      </c>
    </row>
    <row r="32" spans="1:9" s="188" customFormat="1" ht="84" x14ac:dyDescent="0.2">
      <c r="A32" s="179">
        <v>240874</v>
      </c>
      <c r="B32" s="180" t="s">
        <v>66</v>
      </c>
      <c r="C32" s="181" t="s">
        <v>873</v>
      </c>
      <c r="D32" s="186" t="s">
        <v>19</v>
      </c>
      <c r="E32" s="189" t="s">
        <v>67</v>
      </c>
      <c r="F32" s="187">
        <v>280000</v>
      </c>
      <c r="G32" s="187">
        <f>+F32*90/100</f>
        <v>252000</v>
      </c>
      <c r="H32" s="187">
        <f>+F32*0.05</f>
        <v>14000</v>
      </c>
      <c r="I32" s="187">
        <f>+F32*0.05</f>
        <v>14000</v>
      </c>
    </row>
    <row r="33" spans="1:9" s="188" customFormat="1" ht="84" x14ac:dyDescent="0.2">
      <c r="A33" s="179">
        <v>240906</v>
      </c>
      <c r="B33" s="180" t="s">
        <v>68</v>
      </c>
      <c r="C33" s="181" t="s">
        <v>874</v>
      </c>
      <c r="D33" s="186" t="s">
        <v>19</v>
      </c>
      <c r="E33" s="189" t="s">
        <v>69</v>
      </c>
      <c r="F33" s="187">
        <f>345000+172500</f>
        <v>517500</v>
      </c>
      <c r="G33" s="187">
        <f>+F33*90/100</f>
        <v>465750</v>
      </c>
      <c r="H33" s="187">
        <f>+F33*0.05</f>
        <v>25875</v>
      </c>
      <c r="I33" s="187">
        <f>+F33*0.05</f>
        <v>25875</v>
      </c>
    </row>
    <row r="34" spans="1:9" s="188" customFormat="1" ht="84" x14ac:dyDescent="0.2">
      <c r="A34" s="179">
        <v>240906</v>
      </c>
      <c r="B34" s="180" t="s">
        <v>70</v>
      </c>
      <c r="C34" s="181" t="s">
        <v>875</v>
      </c>
      <c r="D34" s="186" t="s">
        <v>33</v>
      </c>
      <c r="E34" s="189" t="s">
        <v>71</v>
      </c>
      <c r="F34" s="187">
        <v>76400</v>
      </c>
      <c r="G34" s="187">
        <v>0</v>
      </c>
      <c r="H34" s="187">
        <f>+F34</f>
        <v>76400</v>
      </c>
      <c r="I34" s="187">
        <v>0</v>
      </c>
    </row>
    <row r="35" spans="1:9" s="188" customFormat="1" ht="84" x14ac:dyDescent="0.2">
      <c r="A35" s="179">
        <v>240910</v>
      </c>
      <c r="B35" s="180" t="s">
        <v>72</v>
      </c>
      <c r="C35" s="190" t="s">
        <v>876</v>
      </c>
      <c r="D35" s="186" t="s">
        <v>16</v>
      </c>
      <c r="E35" s="189" t="s">
        <v>73</v>
      </c>
      <c r="F35" s="187">
        <v>25000</v>
      </c>
      <c r="G35" s="187">
        <f>+F35*90/100</f>
        <v>22500</v>
      </c>
      <c r="H35" s="187">
        <f>+F35*0.05</f>
        <v>1250</v>
      </c>
      <c r="I35" s="187">
        <f>+F35*0.05</f>
        <v>1250</v>
      </c>
    </row>
    <row r="36" spans="1:9" s="188" customFormat="1" ht="84" x14ac:dyDescent="0.2">
      <c r="A36" s="179">
        <v>240932</v>
      </c>
      <c r="B36" s="180" t="s">
        <v>74</v>
      </c>
      <c r="C36" s="190" t="s">
        <v>877</v>
      </c>
      <c r="D36" s="186" t="s">
        <v>33</v>
      </c>
      <c r="E36" s="189" t="s">
        <v>75</v>
      </c>
      <c r="F36" s="187">
        <v>96000</v>
      </c>
      <c r="G36" s="187">
        <f>+F36</f>
        <v>96000</v>
      </c>
      <c r="H36" s="187">
        <v>0</v>
      </c>
      <c r="I36" s="187">
        <v>0</v>
      </c>
    </row>
    <row r="37" spans="1:9" s="188" customFormat="1" ht="84" x14ac:dyDescent="0.2">
      <c r="A37" s="179">
        <v>240946</v>
      </c>
      <c r="B37" s="180" t="s">
        <v>76</v>
      </c>
      <c r="C37" s="190" t="s">
        <v>878</v>
      </c>
      <c r="D37" s="191" t="s">
        <v>77</v>
      </c>
      <c r="E37" s="189" t="s">
        <v>78</v>
      </c>
      <c r="F37" s="187">
        <v>57000</v>
      </c>
      <c r="G37" s="187">
        <f>+F37*50/100</f>
        <v>28500</v>
      </c>
      <c r="H37" s="187">
        <f>+F37*0</f>
        <v>0</v>
      </c>
      <c r="I37" s="187">
        <f>+F37*50/100</f>
        <v>28500</v>
      </c>
    </row>
    <row r="38" spans="1:9" s="188" customFormat="1" ht="84" x14ac:dyDescent="0.2">
      <c r="A38" s="179">
        <v>240947</v>
      </c>
      <c r="B38" s="180" t="s">
        <v>79</v>
      </c>
      <c r="C38" s="190" t="s">
        <v>879</v>
      </c>
      <c r="D38" s="186" t="s">
        <v>16</v>
      </c>
      <c r="E38" s="182" t="s">
        <v>80</v>
      </c>
      <c r="F38" s="187">
        <v>20000</v>
      </c>
      <c r="G38" s="187">
        <f t="shared" ref="G38:G45" si="5">+F38*90/100</f>
        <v>18000</v>
      </c>
      <c r="H38" s="187">
        <f t="shared" ref="H38:H45" si="6">+F38*0.05</f>
        <v>1000</v>
      </c>
      <c r="I38" s="187">
        <f t="shared" ref="I38:I45" si="7">+F38*0.05</f>
        <v>1000</v>
      </c>
    </row>
    <row r="39" spans="1:9" s="188" customFormat="1" ht="84" x14ac:dyDescent="0.2">
      <c r="A39" s="192" t="s">
        <v>880</v>
      </c>
      <c r="B39" s="180"/>
      <c r="C39" s="190" t="s">
        <v>881</v>
      </c>
      <c r="D39" s="180"/>
      <c r="E39" s="193" t="s">
        <v>882</v>
      </c>
      <c r="F39" s="187">
        <v>4987.5</v>
      </c>
      <c r="G39" s="194">
        <f t="shared" si="5"/>
        <v>4488.75</v>
      </c>
      <c r="H39" s="194">
        <f t="shared" si="6"/>
        <v>249.375</v>
      </c>
      <c r="I39" s="194">
        <f t="shared" si="7"/>
        <v>249.375</v>
      </c>
    </row>
    <row r="40" spans="1:9" s="188" customFormat="1" ht="84" x14ac:dyDescent="0.2">
      <c r="A40" s="192" t="s">
        <v>883</v>
      </c>
      <c r="B40" s="180"/>
      <c r="C40" s="190" t="s">
        <v>884</v>
      </c>
      <c r="D40" s="180"/>
      <c r="E40" s="193" t="s">
        <v>81</v>
      </c>
      <c r="F40" s="187">
        <v>191420.25</v>
      </c>
      <c r="G40" s="194">
        <f t="shared" si="5"/>
        <v>172278.22500000001</v>
      </c>
      <c r="H40" s="194">
        <f t="shared" si="6"/>
        <v>9571.0125000000007</v>
      </c>
      <c r="I40" s="194">
        <f t="shared" si="7"/>
        <v>9571.0125000000007</v>
      </c>
    </row>
    <row r="41" spans="1:9" s="188" customFormat="1" ht="84" x14ac:dyDescent="0.2">
      <c r="A41" s="192" t="s">
        <v>885</v>
      </c>
      <c r="B41" s="180"/>
      <c r="C41" s="190" t="s">
        <v>886</v>
      </c>
      <c r="D41" s="180"/>
      <c r="E41" s="193" t="s">
        <v>82</v>
      </c>
      <c r="F41" s="187">
        <v>42750</v>
      </c>
      <c r="G41" s="194">
        <f t="shared" si="5"/>
        <v>38475</v>
      </c>
      <c r="H41" s="194">
        <f t="shared" si="6"/>
        <v>2137.5</v>
      </c>
      <c r="I41" s="194">
        <f t="shared" si="7"/>
        <v>2137.5</v>
      </c>
    </row>
    <row r="42" spans="1:9" s="188" customFormat="1" ht="63" x14ac:dyDescent="0.2">
      <c r="A42" s="192" t="s">
        <v>885</v>
      </c>
      <c r="B42" s="180"/>
      <c r="C42" s="190" t="s">
        <v>887</v>
      </c>
      <c r="D42" s="180"/>
      <c r="E42" s="193" t="s">
        <v>83</v>
      </c>
      <c r="F42" s="187">
        <v>95000</v>
      </c>
      <c r="G42" s="194">
        <f t="shared" si="5"/>
        <v>85500</v>
      </c>
      <c r="H42" s="194">
        <f t="shared" si="6"/>
        <v>4750</v>
      </c>
      <c r="I42" s="194">
        <f t="shared" si="7"/>
        <v>4750</v>
      </c>
    </row>
    <row r="43" spans="1:9" s="188" customFormat="1" ht="84" x14ac:dyDescent="0.2">
      <c r="A43" s="192" t="s">
        <v>885</v>
      </c>
      <c r="B43" s="180"/>
      <c r="C43" s="190" t="s">
        <v>888</v>
      </c>
      <c r="D43" s="180"/>
      <c r="E43" s="193" t="s">
        <v>84</v>
      </c>
      <c r="F43" s="187">
        <v>54150</v>
      </c>
      <c r="G43" s="194">
        <f t="shared" si="5"/>
        <v>48735</v>
      </c>
      <c r="H43" s="194">
        <f t="shared" si="6"/>
        <v>2707.5</v>
      </c>
      <c r="I43" s="194">
        <f t="shared" si="7"/>
        <v>2707.5</v>
      </c>
    </row>
    <row r="44" spans="1:9" s="188" customFormat="1" ht="84" x14ac:dyDescent="0.2">
      <c r="A44" s="192" t="s">
        <v>889</v>
      </c>
      <c r="B44" s="180"/>
      <c r="C44" s="190" t="s">
        <v>890</v>
      </c>
      <c r="D44" s="180"/>
      <c r="E44" s="193" t="s">
        <v>891</v>
      </c>
      <c r="F44" s="187">
        <v>280000</v>
      </c>
      <c r="G44" s="194">
        <f t="shared" si="5"/>
        <v>252000</v>
      </c>
      <c r="H44" s="194">
        <f t="shared" si="6"/>
        <v>14000</v>
      </c>
      <c r="I44" s="194">
        <f t="shared" si="7"/>
        <v>14000</v>
      </c>
    </row>
    <row r="45" spans="1:9" s="188" customFormat="1" x14ac:dyDescent="0.2">
      <c r="A45" s="180"/>
      <c r="B45" s="180"/>
      <c r="C45" s="180"/>
      <c r="D45" s="180"/>
      <c r="E45" s="195"/>
      <c r="F45" s="187"/>
      <c r="G45" s="187">
        <f t="shared" si="5"/>
        <v>0</v>
      </c>
      <c r="H45" s="187">
        <f t="shared" si="6"/>
        <v>0</v>
      </c>
      <c r="I45" s="187">
        <f t="shared" si="7"/>
        <v>0</v>
      </c>
    </row>
    <row r="46" spans="1:9" s="188" customFormat="1" ht="21.75" thickBot="1" x14ac:dyDescent="0.25">
      <c r="A46" s="196"/>
      <c r="B46" s="196"/>
      <c r="C46" s="196"/>
      <c r="D46" s="196"/>
      <c r="E46" s="197"/>
      <c r="F46" s="198">
        <f>SUM(F4:F45)</f>
        <v>10410400.25</v>
      </c>
      <c r="G46" s="198">
        <f>SUM(G4:G45)</f>
        <v>9221356.4749999996</v>
      </c>
      <c r="H46" s="198">
        <f>SUM(H4:H45)</f>
        <v>617611.88749999995</v>
      </c>
      <c r="I46" s="198">
        <f>SUM(I4:I45)</f>
        <v>571431.88749999995</v>
      </c>
    </row>
    <row r="47" spans="1:9" s="188" customFormat="1" ht="21.75" thickTop="1" x14ac:dyDescent="0.2">
      <c r="A47" s="174"/>
      <c r="B47" s="174"/>
      <c r="C47" s="174"/>
      <c r="D47" s="174"/>
      <c r="E47" s="199"/>
      <c r="F47" s="200"/>
      <c r="G47" s="200"/>
      <c r="H47" s="200"/>
      <c r="I47" s="200">
        <f>+F46-G46-H46-I46</f>
        <v>0</v>
      </c>
    </row>
    <row r="48" spans="1:9" s="188" customFormat="1" x14ac:dyDescent="0.2">
      <c r="A48" s="174"/>
      <c r="B48" s="174"/>
      <c r="C48" s="174"/>
      <c r="D48" s="174"/>
      <c r="E48" s="199"/>
      <c r="F48" s="200"/>
      <c r="G48" s="200"/>
      <c r="H48" s="200"/>
      <c r="I48" s="200"/>
    </row>
    <row r="49" spans="1:9" s="188" customFormat="1" x14ac:dyDescent="0.2">
      <c r="A49" s="174"/>
      <c r="B49" s="201" t="s">
        <v>85</v>
      </c>
      <c r="C49" s="188" t="s">
        <v>86</v>
      </c>
      <c r="E49" s="202"/>
      <c r="F49" s="200"/>
      <c r="G49" s="200"/>
      <c r="H49" s="200"/>
      <c r="I49" s="200"/>
    </row>
    <row r="50" spans="1:9" s="188" customFormat="1" x14ac:dyDescent="0.2">
      <c r="A50" s="174"/>
      <c r="B50" s="201" t="s">
        <v>3</v>
      </c>
      <c r="C50" s="188" t="s">
        <v>87</v>
      </c>
      <c r="E50" s="202"/>
      <c r="F50" s="200"/>
      <c r="G50" s="200"/>
      <c r="H50" s="200"/>
      <c r="I50" s="200"/>
    </row>
    <row r="51" spans="1:9" s="188" customFormat="1" x14ac:dyDescent="0.2">
      <c r="A51" s="174"/>
      <c r="B51" s="201" t="s">
        <v>88</v>
      </c>
      <c r="C51" s="188" t="s">
        <v>89</v>
      </c>
      <c r="E51" s="202"/>
      <c r="F51" s="200"/>
      <c r="G51" s="200"/>
      <c r="H51" s="200"/>
      <c r="I51" s="200"/>
    </row>
    <row r="52" spans="1:9" s="188" customFormat="1" x14ac:dyDescent="0.2">
      <c r="A52" s="174"/>
      <c r="B52" s="201" t="s">
        <v>90</v>
      </c>
      <c r="C52" s="188" t="s">
        <v>91</v>
      </c>
      <c r="E52" s="202"/>
      <c r="F52" s="200"/>
      <c r="G52" s="200"/>
      <c r="H52" s="200"/>
      <c r="I52" s="200"/>
    </row>
    <row r="53" spans="1:9" s="177" customFormat="1" x14ac:dyDescent="0.2">
      <c r="A53" s="174"/>
      <c r="B53" s="201" t="s">
        <v>92</v>
      </c>
      <c r="C53" s="203" t="s">
        <v>93</v>
      </c>
      <c r="E53" s="204"/>
      <c r="F53" s="200"/>
      <c r="G53" s="200"/>
      <c r="H53" s="200"/>
      <c r="I53" s="200"/>
    </row>
    <row r="54" spans="1:9" customFormat="1" ht="14.25" x14ac:dyDescent="0.2"/>
    <row r="55" spans="1:9" customFormat="1" ht="14.25" x14ac:dyDescent="0.2"/>
  </sheetData>
  <mergeCells count="8">
    <mergeCell ref="A1:I1"/>
    <mergeCell ref="E2:E3"/>
    <mergeCell ref="F2:F3"/>
    <mergeCell ref="G2:I2"/>
    <mergeCell ref="A2:A3"/>
    <mergeCell ref="B2:B3"/>
    <mergeCell ref="C2:C3"/>
    <mergeCell ref="D2:D3"/>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workbookViewId="0">
      <selection activeCell="E6" sqref="E6"/>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636" t="s">
        <v>1622</v>
      </c>
      <c r="B1" s="636"/>
      <c r="C1" s="636"/>
      <c r="D1" s="636"/>
      <c r="E1" s="636"/>
      <c r="F1" s="636"/>
      <c r="G1" s="636"/>
      <c r="H1" s="636"/>
      <c r="I1" s="636"/>
    </row>
    <row r="2" spans="1:9" s="174" customFormat="1" x14ac:dyDescent="0.2">
      <c r="A2" s="175"/>
      <c r="B2" s="175"/>
      <c r="C2" s="175"/>
      <c r="D2" s="175"/>
      <c r="E2" s="176"/>
      <c r="F2" s="175"/>
      <c r="G2" s="175"/>
      <c r="H2" s="175"/>
      <c r="I2" s="175"/>
    </row>
    <row r="3" spans="1:9" s="177" customFormat="1" x14ac:dyDescent="0.2">
      <c r="A3" s="635" t="s">
        <v>1</v>
      </c>
      <c r="B3" s="635" t="s">
        <v>2</v>
      </c>
      <c r="C3" s="635" t="s">
        <v>789</v>
      </c>
      <c r="D3" s="633" t="s">
        <v>3</v>
      </c>
      <c r="E3" s="633" t="s">
        <v>90</v>
      </c>
      <c r="F3" s="633" t="s">
        <v>4</v>
      </c>
      <c r="G3" s="634" t="s">
        <v>5</v>
      </c>
      <c r="H3" s="634"/>
      <c r="I3" s="634"/>
    </row>
    <row r="4" spans="1:9" s="177" customFormat="1" x14ac:dyDescent="0.2">
      <c r="A4" s="635"/>
      <c r="B4" s="635"/>
      <c r="C4" s="635"/>
      <c r="D4" s="633"/>
      <c r="E4" s="633"/>
      <c r="F4" s="633"/>
      <c r="G4" s="178" t="s">
        <v>8</v>
      </c>
      <c r="H4" s="178" t="s">
        <v>9</v>
      </c>
      <c r="I4" s="178" t="s">
        <v>3</v>
      </c>
    </row>
    <row r="5" spans="1:9" s="174" customFormat="1" ht="105" x14ac:dyDescent="0.2">
      <c r="A5" s="179">
        <v>240255</v>
      </c>
      <c r="B5" s="180" t="s">
        <v>803</v>
      </c>
      <c r="C5" s="181" t="s">
        <v>804</v>
      </c>
      <c r="D5" s="180" t="s">
        <v>792</v>
      </c>
      <c r="E5" s="182" t="s">
        <v>805</v>
      </c>
      <c r="F5" s="183">
        <f>25000+24000+25000+23000+10000+10000+25000+25000+25000+25000+25000+25000+25000+10000+25000+25000+25000+25000+10000+10000+25000+25000+25000+25000+15000+25000+10000+25000+15000+25000+25000+25000+25000+25000+10000</f>
        <v>747000</v>
      </c>
      <c r="G5" s="183">
        <f t="shared" ref="G5:G6" si="0">+F5*90/100</f>
        <v>672300</v>
      </c>
      <c r="H5" s="183">
        <f t="shared" ref="H5:H6" si="1">+F5*5/100</f>
        <v>37350</v>
      </c>
      <c r="I5" s="183">
        <f t="shared" ref="I5:I6" si="2">+F5*5/100</f>
        <v>37350</v>
      </c>
    </row>
    <row r="6" spans="1:9" s="174" customFormat="1" ht="84" x14ac:dyDescent="0.2">
      <c r="A6" s="179">
        <v>240290</v>
      </c>
      <c r="B6" s="180" t="s">
        <v>806</v>
      </c>
      <c r="C6" s="181" t="s">
        <v>807</v>
      </c>
      <c r="D6" s="180" t="s">
        <v>792</v>
      </c>
      <c r="E6" s="182" t="s">
        <v>808</v>
      </c>
      <c r="F6" s="183">
        <v>25000</v>
      </c>
      <c r="G6" s="183">
        <f t="shared" si="0"/>
        <v>22500</v>
      </c>
      <c r="H6" s="183">
        <f t="shared" si="1"/>
        <v>1250</v>
      </c>
      <c r="I6" s="183">
        <f t="shared" si="2"/>
        <v>1250</v>
      </c>
    </row>
    <row r="7" spans="1:9" s="174" customFormat="1" ht="84" x14ac:dyDescent="0.2">
      <c r="A7" s="179">
        <v>240303</v>
      </c>
      <c r="B7" s="180" t="s">
        <v>809</v>
      </c>
      <c r="C7" s="181" t="s">
        <v>810</v>
      </c>
      <c r="D7" s="180" t="s">
        <v>811</v>
      </c>
      <c r="E7" s="182" t="s">
        <v>812</v>
      </c>
      <c r="F7" s="183">
        <v>350000</v>
      </c>
      <c r="G7" s="183">
        <f>+F7*1</f>
        <v>350000</v>
      </c>
      <c r="H7" s="183">
        <v>0</v>
      </c>
      <c r="I7" s="183">
        <v>0</v>
      </c>
    </row>
    <row r="8" spans="1:9" s="174" customFormat="1" ht="63" x14ac:dyDescent="0.2">
      <c r="A8" s="179">
        <v>240344</v>
      </c>
      <c r="B8" s="180" t="s">
        <v>813</v>
      </c>
      <c r="C8" s="181" t="s">
        <v>814</v>
      </c>
      <c r="D8" s="180" t="s">
        <v>22</v>
      </c>
      <c r="E8" s="182" t="s">
        <v>815</v>
      </c>
      <c r="F8" s="183">
        <v>175800</v>
      </c>
      <c r="G8" s="183">
        <v>145800</v>
      </c>
      <c r="H8" s="183">
        <v>15000</v>
      </c>
      <c r="I8" s="183">
        <v>15000</v>
      </c>
    </row>
    <row r="9" spans="1:9" s="174" customFormat="1" ht="84" x14ac:dyDescent="0.2">
      <c r="A9" s="179">
        <v>240364</v>
      </c>
      <c r="B9" s="180" t="s">
        <v>816</v>
      </c>
      <c r="C9" s="181" t="s">
        <v>817</v>
      </c>
      <c r="D9" s="180" t="s">
        <v>22</v>
      </c>
      <c r="E9" s="182" t="s">
        <v>818</v>
      </c>
      <c r="F9" s="183">
        <v>50000</v>
      </c>
      <c r="G9" s="183">
        <f>+F9</f>
        <v>50000</v>
      </c>
      <c r="H9" s="183">
        <v>0</v>
      </c>
      <c r="I9" s="183">
        <v>0</v>
      </c>
    </row>
    <row r="10" spans="1:9" s="174" customFormat="1" ht="84" x14ac:dyDescent="0.2">
      <c r="A10" s="179">
        <v>240424</v>
      </c>
      <c r="B10" s="180" t="s">
        <v>819</v>
      </c>
      <c r="C10" s="181" t="s">
        <v>820</v>
      </c>
      <c r="D10" s="180" t="s">
        <v>792</v>
      </c>
      <c r="E10" s="182" t="s">
        <v>821</v>
      </c>
      <c r="F10" s="183">
        <v>15000</v>
      </c>
      <c r="G10" s="183">
        <f>+F10*90/100</f>
        <v>13500</v>
      </c>
      <c r="H10" s="183">
        <f>+F10*5/100</f>
        <v>750</v>
      </c>
      <c r="I10" s="183">
        <f>+F10*5/100</f>
        <v>750</v>
      </c>
    </row>
    <row r="11" spans="1:9" s="174" customFormat="1" ht="84" x14ac:dyDescent="0.2">
      <c r="A11" s="179">
        <v>240409</v>
      </c>
      <c r="B11" s="180" t="s">
        <v>822</v>
      </c>
      <c r="C11" s="181" t="s">
        <v>823</v>
      </c>
      <c r="D11" s="180" t="s">
        <v>22</v>
      </c>
      <c r="E11" s="182" t="s">
        <v>824</v>
      </c>
      <c r="F11" s="183">
        <v>523608</v>
      </c>
      <c r="G11" s="183">
        <v>0</v>
      </c>
      <c r="H11" s="183">
        <f>+F11*25/100</f>
        <v>130902</v>
      </c>
      <c r="I11" s="183">
        <f>+F11*75/100</f>
        <v>392706</v>
      </c>
    </row>
    <row r="12" spans="1:9" s="174" customFormat="1" ht="105" x14ac:dyDescent="0.2">
      <c r="A12" s="179">
        <v>240484</v>
      </c>
      <c r="B12" s="180" t="s">
        <v>825</v>
      </c>
      <c r="C12" s="181" t="s">
        <v>826</v>
      </c>
      <c r="D12" s="180" t="s">
        <v>22</v>
      </c>
      <c r="E12" s="182" t="s">
        <v>827</v>
      </c>
      <c r="F12" s="183">
        <v>2400000</v>
      </c>
      <c r="G12" s="183">
        <f t="shared" ref="G12:G18" si="3">+F12*90/100</f>
        <v>2160000</v>
      </c>
      <c r="H12" s="183">
        <f>+F12*10/100-120000</f>
        <v>120000</v>
      </c>
      <c r="I12" s="183">
        <v>120000</v>
      </c>
    </row>
    <row r="13" spans="1:9" s="174" customFormat="1" ht="84" x14ac:dyDescent="0.2">
      <c r="A13" s="179">
        <v>240493</v>
      </c>
      <c r="B13" s="180" t="s">
        <v>822</v>
      </c>
      <c r="C13" s="181" t="s">
        <v>828</v>
      </c>
      <c r="D13" s="180" t="s">
        <v>19</v>
      </c>
      <c r="E13" s="182" t="s">
        <v>829</v>
      </c>
      <c r="F13" s="183">
        <v>42750</v>
      </c>
      <c r="G13" s="183">
        <f t="shared" si="3"/>
        <v>38475</v>
      </c>
      <c r="H13" s="183">
        <f t="shared" ref="H13:H18" si="4">+F13*5/100</f>
        <v>2137.5</v>
      </c>
      <c r="I13" s="183">
        <f t="shared" ref="I13:I18" si="5">+F13*5/100</f>
        <v>2137.5</v>
      </c>
    </row>
    <row r="14" spans="1:9" s="174" customFormat="1" ht="63" x14ac:dyDescent="0.2">
      <c r="A14" s="179">
        <v>240589</v>
      </c>
      <c r="B14" s="180" t="s">
        <v>830</v>
      </c>
      <c r="C14" s="181" t="s">
        <v>831</v>
      </c>
      <c r="D14" s="180" t="s">
        <v>792</v>
      </c>
      <c r="E14" s="182" t="s">
        <v>832</v>
      </c>
      <c r="F14" s="183">
        <v>100000</v>
      </c>
      <c r="G14" s="183">
        <f t="shared" si="3"/>
        <v>90000</v>
      </c>
      <c r="H14" s="183">
        <f t="shared" si="4"/>
        <v>5000</v>
      </c>
      <c r="I14" s="183">
        <f t="shared" si="5"/>
        <v>5000</v>
      </c>
    </row>
    <row r="15" spans="1:9" s="174" customFormat="1" ht="84" x14ac:dyDescent="0.2">
      <c r="A15" s="179">
        <v>240595</v>
      </c>
      <c r="B15" s="180" t="s">
        <v>833</v>
      </c>
      <c r="C15" s="181" t="s">
        <v>834</v>
      </c>
      <c r="D15" s="180" t="s">
        <v>792</v>
      </c>
      <c r="E15" s="182" t="s">
        <v>835</v>
      </c>
      <c r="F15" s="183">
        <v>10000</v>
      </c>
      <c r="G15" s="183">
        <f t="shared" si="3"/>
        <v>9000</v>
      </c>
      <c r="H15" s="183">
        <f t="shared" si="4"/>
        <v>500</v>
      </c>
      <c r="I15" s="183">
        <f t="shared" si="5"/>
        <v>500</v>
      </c>
    </row>
    <row r="16" spans="1:9" s="174" customFormat="1" ht="84" x14ac:dyDescent="0.2">
      <c r="A16" s="179">
        <v>240595</v>
      </c>
      <c r="B16" s="180" t="s">
        <v>836</v>
      </c>
      <c r="C16" s="181" t="s">
        <v>837</v>
      </c>
      <c r="D16" s="180" t="s">
        <v>792</v>
      </c>
      <c r="E16" s="182" t="s">
        <v>838</v>
      </c>
      <c r="F16" s="183">
        <v>105000</v>
      </c>
      <c r="G16" s="183">
        <f t="shared" si="3"/>
        <v>94500</v>
      </c>
      <c r="H16" s="183">
        <f t="shared" si="4"/>
        <v>5250</v>
      </c>
      <c r="I16" s="183">
        <f t="shared" si="5"/>
        <v>5250</v>
      </c>
    </row>
    <row r="17" spans="1:9" s="174" customFormat="1" ht="84" x14ac:dyDescent="0.2">
      <c r="A17" s="179">
        <v>240598</v>
      </c>
      <c r="B17" s="180" t="s">
        <v>839</v>
      </c>
      <c r="C17" s="181" t="s">
        <v>840</v>
      </c>
      <c r="D17" s="180" t="s">
        <v>19</v>
      </c>
      <c r="E17" s="182" t="s">
        <v>841</v>
      </c>
      <c r="F17" s="183">
        <v>57000</v>
      </c>
      <c r="G17" s="183">
        <f t="shared" si="3"/>
        <v>51300</v>
      </c>
      <c r="H17" s="183">
        <f t="shared" si="4"/>
        <v>2850</v>
      </c>
      <c r="I17" s="183">
        <f t="shared" si="5"/>
        <v>2850</v>
      </c>
    </row>
    <row r="18" spans="1:9" s="174" customFormat="1" ht="84" x14ac:dyDescent="0.2">
      <c r="A18" s="179">
        <v>240598</v>
      </c>
      <c r="B18" s="180" t="s">
        <v>842</v>
      </c>
      <c r="C18" s="184" t="s">
        <v>843</v>
      </c>
      <c r="D18" s="180" t="s">
        <v>844</v>
      </c>
      <c r="E18" s="185" t="s">
        <v>845</v>
      </c>
      <c r="F18" s="183">
        <v>210000</v>
      </c>
      <c r="G18" s="183">
        <f t="shared" si="3"/>
        <v>189000</v>
      </c>
      <c r="H18" s="183">
        <f t="shared" si="4"/>
        <v>10500</v>
      </c>
      <c r="I18" s="183">
        <f t="shared" si="5"/>
        <v>10500</v>
      </c>
    </row>
    <row r="19" spans="1:9" ht="21.75" thickBot="1" x14ac:dyDescent="0.25">
      <c r="A19" s="196"/>
      <c r="B19" s="196"/>
      <c r="C19" s="196"/>
      <c r="D19" s="196"/>
      <c r="E19" s="197"/>
      <c r="F19" s="198">
        <f>SUM(F5:F18)</f>
        <v>4811158</v>
      </c>
      <c r="G19" s="198">
        <f>SUM(G5:G18)</f>
        <v>3886375</v>
      </c>
      <c r="H19" s="198">
        <f>SUM(H5:H18)</f>
        <v>331489.5</v>
      </c>
      <c r="I19" s="198">
        <f>SUM(I5:I18)</f>
        <v>593293.5</v>
      </c>
    </row>
    <row r="20" spans="1:9" ht="21.75" thickTop="1" x14ac:dyDescent="0.2">
      <c r="I20" s="200">
        <f>+F19-G19-H19-I19</f>
        <v>0</v>
      </c>
    </row>
    <row r="22" spans="1:9" x14ac:dyDescent="0.2">
      <c r="B22" s="201" t="s">
        <v>85</v>
      </c>
      <c r="C22" s="188" t="s">
        <v>86</v>
      </c>
      <c r="D22" s="188"/>
      <c r="E22" s="202"/>
    </row>
    <row r="23" spans="1:9" x14ac:dyDescent="0.2">
      <c r="B23" s="201" t="s">
        <v>3</v>
      </c>
      <c r="C23" s="188" t="s">
        <v>87</v>
      </c>
      <c r="D23" s="188"/>
      <c r="E23" s="202"/>
    </row>
    <row r="24" spans="1:9" x14ac:dyDescent="0.2">
      <c r="B24" s="201" t="s">
        <v>88</v>
      </c>
      <c r="C24" s="188" t="s">
        <v>89</v>
      </c>
      <c r="D24" s="188"/>
      <c r="E24" s="202"/>
    </row>
    <row r="25" spans="1:9" x14ac:dyDescent="0.2">
      <c r="B25" s="201" t="s">
        <v>90</v>
      </c>
      <c r="C25" s="188" t="s">
        <v>91</v>
      </c>
      <c r="D25" s="188"/>
      <c r="E25" s="202"/>
    </row>
    <row r="26" spans="1:9" s="177" customFormat="1" x14ac:dyDescent="0.2">
      <c r="A26" s="174"/>
      <c r="B26" s="201" t="s">
        <v>92</v>
      </c>
      <c r="C26" s="203" t="s">
        <v>93</v>
      </c>
      <c r="E26" s="204"/>
      <c r="F26" s="200"/>
      <c r="G26" s="200"/>
      <c r="H26" s="200"/>
      <c r="I26" s="200"/>
    </row>
  </sheetData>
  <mergeCells count="8">
    <mergeCell ref="A1:I1"/>
    <mergeCell ref="A3:A4"/>
    <mergeCell ref="B3:B4"/>
    <mergeCell ref="C3:C4"/>
    <mergeCell ref="D3:D4"/>
    <mergeCell ref="E3:E4"/>
    <mergeCell ref="F3:F4"/>
    <mergeCell ref="G3:I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A3" sqref="A3:I3"/>
    </sheetView>
  </sheetViews>
  <sheetFormatPr defaultRowHeight="21" x14ac:dyDescent="0.2"/>
  <cols>
    <col min="1" max="1" width="8.375" style="174" customWidth="1"/>
    <col min="2" max="2" width="13" style="174" bestFit="1" customWidth="1"/>
    <col min="3" max="3" width="15.875" style="174" bestFit="1" customWidth="1"/>
    <col min="4" max="4" width="25.625" style="174" customWidth="1"/>
    <col min="5" max="5" width="48.75" style="199" customWidth="1"/>
    <col min="6" max="7" width="10.5" style="200" bestFit="1" customWidth="1"/>
    <col min="8" max="9" width="9.75" style="200" bestFit="1" customWidth="1"/>
    <col min="10" max="256" width="9" style="188"/>
    <col min="257" max="257" width="8.375" style="188" customWidth="1"/>
    <col min="258" max="258" width="13" style="188" bestFit="1" customWidth="1"/>
    <col min="259" max="259" width="15.875" style="188" bestFit="1" customWidth="1"/>
    <col min="260" max="260" width="25.625" style="188" customWidth="1"/>
    <col min="261" max="261" width="48.75" style="188" customWidth="1"/>
    <col min="262" max="263" width="10.5" style="188" bestFit="1" customWidth="1"/>
    <col min="264" max="265" width="9.75" style="188" bestFit="1" customWidth="1"/>
    <col min="266" max="512" width="9" style="188"/>
    <col min="513" max="513" width="8.375" style="188" customWidth="1"/>
    <col min="514" max="514" width="13" style="188" bestFit="1" customWidth="1"/>
    <col min="515" max="515" width="15.875" style="188" bestFit="1" customWidth="1"/>
    <col min="516" max="516" width="25.625" style="188" customWidth="1"/>
    <col min="517" max="517" width="48.75" style="188" customWidth="1"/>
    <col min="518" max="519" width="10.5" style="188" bestFit="1" customWidth="1"/>
    <col min="520" max="521" width="9.75" style="188" bestFit="1" customWidth="1"/>
    <col min="522" max="768" width="9" style="188"/>
    <col min="769" max="769" width="8.375" style="188" customWidth="1"/>
    <col min="770" max="770" width="13" style="188" bestFit="1" customWidth="1"/>
    <col min="771" max="771" width="15.875" style="188" bestFit="1" customWidth="1"/>
    <col min="772" max="772" width="25.625" style="188" customWidth="1"/>
    <col min="773" max="773" width="48.75" style="188" customWidth="1"/>
    <col min="774" max="775" width="10.5" style="188" bestFit="1" customWidth="1"/>
    <col min="776" max="777" width="9.75" style="188" bestFit="1" customWidth="1"/>
    <col min="778" max="1024" width="9" style="188"/>
    <col min="1025" max="1025" width="8.375" style="188" customWidth="1"/>
    <col min="1026" max="1026" width="13" style="188" bestFit="1" customWidth="1"/>
    <col min="1027" max="1027" width="15.875" style="188" bestFit="1" customWidth="1"/>
    <col min="1028" max="1028" width="25.625" style="188" customWidth="1"/>
    <col min="1029" max="1029" width="48.75" style="188" customWidth="1"/>
    <col min="1030" max="1031" width="10.5" style="188" bestFit="1" customWidth="1"/>
    <col min="1032" max="1033" width="9.75" style="188" bestFit="1" customWidth="1"/>
    <col min="1034" max="1280" width="9" style="188"/>
    <col min="1281" max="1281" width="8.375" style="188" customWidth="1"/>
    <col min="1282" max="1282" width="13" style="188" bestFit="1" customWidth="1"/>
    <col min="1283" max="1283" width="15.875" style="188" bestFit="1" customWidth="1"/>
    <col min="1284" max="1284" width="25.625" style="188" customWidth="1"/>
    <col min="1285" max="1285" width="48.75" style="188" customWidth="1"/>
    <col min="1286" max="1287" width="10.5" style="188" bestFit="1" customWidth="1"/>
    <col min="1288" max="1289" width="9.75" style="188" bestFit="1" customWidth="1"/>
    <col min="1290" max="1536" width="9" style="188"/>
    <col min="1537" max="1537" width="8.375" style="188" customWidth="1"/>
    <col min="1538" max="1538" width="13" style="188" bestFit="1" customWidth="1"/>
    <col min="1539" max="1539" width="15.875" style="188" bestFit="1" customWidth="1"/>
    <col min="1540" max="1540" width="25.625" style="188" customWidth="1"/>
    <col min="1541" max="1541" width="48.75" style="188" customWidth="1"/>
    <col min="1542" max="1543" width="10.5" style="188" bestFit="1" customWidth="1"/>
    <col min="1544" max="1545" width="9.75" style="188" bestFit="1" customWidth="1"/>
    <col min="1546" max="1792" width="9" style="188"/>
    <col min="1793" max="1793" width="8.375" style="188" customWidth="1"/>
    <col min="1794" max="1794" width="13" style="188" bestFit="1" customWidth="1"/>
    <col min="1795" max="1795" width="15.875" style="188" bestFit="1" customWidth="1"/>
    <col min="1796" max="1796" width="25.625" style="188" customWidth="1"/>
    <col min="1797" max="1797" width="48.75" style="188" customWidth="1"/>
    <col min="1798" max="1799" width="10.5" style="188" bestFit="1" customWidth="1"/>
    <col min="1800" max="1801" width="9.75" style="188" bestFit="1" customWidth="1"/>
    <col min="1802" max="2048" width="9" style="188"/>
    <col min="2049" max="2049" width="8.375" style="188" customWidth="1"/>
    <col min="2050" max="2050" width="13" style="188" bestFit="1" customWidth="1"/>
    <col min="2051" max="2051" width="15.875" style="188" bestFit="1" customWidth="1"/>
    <col min="2052" max="2052" width="25.625" style="188" customWidth="1"/>
    <col min="2053" max="2053" width="48.75" style="188" customWidth="1"/>
    <col min="2054" max="2055" width="10.5" style="188" bestFit="1" customWidth="1"/>
    <col min="2056" max="2057" width="9.75" style="188" bestFit="1" customWidth="1"/>
    <col min="2058" max="2304" width="9" style="188"/>
    <col min="2305" max="2305" width="8.375" style="188" customWidth="1"/>
    <col min="2306" max="2306" width="13" style="188" bestFit="1" customWidth="1"/>
    <col min="2307" max="2307" width="15.875" style="188" bestFit="1" customWidth="1"/>
    <col min="2308" max="2308" width="25.625" style="188" customWidth="1"/>
    <col min="2309" max="2309" width="48.75" style="188" customWidth="1"/>
    <col min="2310" max="2311" width="10.5" style="188" bestFit="1" customWidth="1"/>
    <col min="2312" max="2313" width="9.75" style="188" bestFit="1" customWidth="1"/>
    <col min="2314" max="2560" width="9" style="188"/>
    <col min="2561" max="2561" width="8.375" style="188" customWidth="1"/>
    <col min="2562" max="2562" width="13" style="188" bestFit="1" customWidth="1"/>
    <col min="2563" max="2563" width="15.875" style="188" bestFit="1" customWidth="1"/>
    <col min="2564" max="2564" width="25.625" style="188" customWidth="1"/>
    <col min="2565" max="2565" width="48.75" style="188" customWidth="1"/>
    <col min="2566" max="2567" width="10.5" style="188" bestFit="1" customWidth="1"/>
    <col min="2568" max="2569" width="9.75" style="188" bestFit="1" customWidth="1"/>
    <col min="2570" max="2816" width="9" style="188"/>
    <col min="2817" max="2817" width="8.375" style="188" customWidth="1"/>
    <col min="2818" max="2818" width="13" style="188" bestFit="1" customWidth="1"/>
    <col min="2819" max="2819" width="15.875" style="188" bestFit="1" customWidth="1"/>
    <col min="2820" max="2820" width="25.625" style="188" customWidth="1"/>
    <col min="2821" max="2821" width="48.75" style="188" customWidth="1"/>
    <col min="2822" max="2823" width="10.5" style="188" bestFit="1" customWidth="1"/>
    <col min="2824" max="2825" width="9.75" style="188" bestFit="1" customWidth="1"/>
    <col min="2826" max="3072" width="9" style="188"/>
    <col min="3073" max="3073" width="8.375" style="188" customWidth="1"/>
    <col min="3074" max="3074" width="13" style="188" bestFit="1" customWidth="1"/>
    <col min="3075" max="3075" width="15.875" style="188" bestFit="1" customWidth="1"/>
    <col min="3076" max="3076" width="25.625" style="188" customWidth="1"/>
    <col min="3077" max="3077" width="48.75" style="188" customWidth="1"/>
    <col min="3078" max="3079" width="10.5" style="188" bestFit="1" customWidth="1"/>
    <col min="3080" max="3081" width="9.75" style="188" bestFit="1" customWidth="1"/>
    <col min="3082" max="3328" width="9" style="188"/>
    <col min="3329" max="3329" width="8.375" style="188" customWidth="1"/>
    <col min="3330" max="3330" width="13" style="188" bestFit="1" customWidth="1"/>
    <col min="3331" max="3331" width="15.875" style="188" bestFit="1" customWidth="1"/>
    <col min="3332" max="3332" width="25.625" style="188" customWidth="1"/>
    <col min="3333" max="3333" width="48.75" style="188" customWidth="1"/>
    <col min="3334" max="3335" width="10.5" style="188" bestFit="1" customWidth="1"/>
    <col min="3336" max="3337" width="9.75" style="188" bestFit="1" customWidth="1"/>
    <col min="3338" max="3584" width="9" style="188"/>
    <col min="3585" max="3585" width="8.375" style="188" customWidth="1"/>
    <col min="3586" max="3586" width="13" style="188" bestFit="1" customWidth="1"/>
    <col min="3587" max="3587" width="15.875" style="188" bestFit="1" customWidth="1"/>
    <col min="3588" max="3588" width="25.625" style="188" customWidth="1"/>
    <col min="3589" max="3589" width="48.75" style="188" customWidth="1"/>
    <col min="3590" max="3591" width="10.5" style="188" bestFit="1" customWidth="1"/>
    <col min="3592" max="3593" width="9.75" style="188" bestFit="1" customWidth="1"/>
    <col min="3594" max="3840" width="9" style="188"/>
    <col min="3841" max="3841" width="8.375" style="188" customWidth="1"/>
    <col min="3842" max="3842" width="13" style="188" bestFit="1" customWidth="1"/>
    <col min="3843" max="3843" width="15.875" style="188" bestFit="1" customWidth="1"/>
    <col min="3844" max="3844" width="25.625" style="188" customWidth="1"/>
    <col min="3845" max="3845" width="48.75" style="188" customWidth="1"/>
    <col min="3846" max="3847" width="10.5" style="188" bestFit="1" customWidth="1"/>
    <col min="3848" max="3849" width="9.75" style="188" bestFit="1" customWidth="1"/>
    <col min="3850" max="4096" width="9" style="188"/>
    <col min="4097" max="4097" width="8.375" style="188" customWidth="1"/>
    <col min="4098" max="4098" width="13" style="188" bestFit="1" customWidth="1"/>
    <col min="4099" max="4099" width="15.875" style="188" bestFit="1" customWidth="1"/>
    <col min="4100" max="4100" width="25.625" style="188" customWidth="1"/>
    <col min="4101" max="4101" width="48.75" style="188" customWidth="1"/>
    <col min="4102" max="4103" width="10.5" style="188" bestFit="1" customWidth="1"/>
    <col min="4104" max="4105" width="9.75" style="188" bestFit="1" customWidth="1"/>
    <col min="4106" max="4352" width="9" style="188"/>
    <col min="4353" max="4353" width="8.375" style="188" customWidth="1"/>
    <col min="4354" max="4354" width="13" style="188" bestFit="1" customWidth="1"/>
    <col min="4355" max="4355" width="15.875" style="188" bestFit="1" customWidth="1"/>
    <col min="4356" max="4356" width="25.625" style="188" customWidth="1"/>
    <col min="4357" max="4357" width="48.75" style="188" customWidth="1"/>
    <col min="4358" max="4359" width="10.5" style="188" bestFit="1" customWidth="1"/>
    <col min="4360" max="4361" width="9.75" style="188" bestFit="1" customWidth="1"/>
    <col min="4362" max="4608" width="9" style="188"/>
    <col min="4609" max="4609" width="8.375" style="188" customWidth="1"/>
    <col min="4610" max="4610" width="13" style="188" bestFit="1" customWidth="1"/>
    <col min="4611" max="4611" width="15.875" style="188" bestFit="1" customWidth="1"/>
    <col min="4612" max="4612" width="25.625" style="188" customWidth="1"/>
    <col min="4613" max="4613" width="48.75" style="188" customWidth="1"/>
    <col min="4614" max="4615" width="10.5" style="188" bestFit="1" customWidth="1"/>
    <col min="4616" max="4617" width="9.75" style="188" bestFit="1" customWidth="1"/>
    <col min="4618" max="4864" width="9" style="188"/>
    <col min="4865" max="4865" width="8.375" style="188" customWidth="1"/>
    <col min="4866" max="4866" width="13" style="188" bestFit="1" customWidth="1"/>
    <col min="4867" max="4867" width="15.875" style="188" bestFit="1" customWidth="1"/>
    <col min="4868" max="4868" width="25.625" style="188" customWidth="1"/>
    <col min="4869" max="4869" width="48.75" style="188" customWidth="1"/>
    <col min="4870" max="4871" width="10.5" style="188" bestFit="1" customWidth="1"/>
    <col min="4872" max="4873" width="9.75" style="188" bestFit="1" customWidth="1"/>
    <col min="4874" max="5120" width="9" style="188"/>
    <col min="5121" max="5121" width="8.375" style="188" customWidth="1"/>
    <col min="5122" max="5122" width="13" style="188" bestFit="1" customWidth="1"/>
    <col min="5123" max="5123" width="15.875" style="188" bestFit="1" customWidth="1"/>
    <col min="5124" max="5124" width="25.625" style="188" customWidth="1"/>
    <col min="5125" max="5125" width="48.75" style="188" customWidth="1"/>
    <col min="5126" max="5127" width="10.5" style="188" bestFit="1" customWidth="1"/>
    <col min="5128" max="5129" width="9.75" style="188" bestFit="1" customWidth="1"/>
    <col min="5130" max="5376" width="9" style="188"/>
    <col min="5377" max="5377" width="8.375" style="188" customWidth="1"/>
    <col min="5378" max="5378" width="13" style="188" bestFit="1" customWidth="1"/>
    <col min="5379" max="5379" width="15.875" style="188" bestFit="1" customWidth="1"/>
    <col min="5380" max="5380" width="25.625" style="188" customWidth="1"/>
    <col min="5381" max="5381" width="48.75" style="188" customWidth="1"/>
    <col min="5382" max="5383" width="10.5" style="188" bestFit="1" customWidth="1"/>
    <col min="5384" max="5385" width="9.75" style="188" bestFit="1" customWidth="1"/>
    <col min="5386" max="5632" width="9" style="188"/>
    <col min="5633" max="5633" width="8.375" style="188" customWidth="1"/>
    <col min="5634" max="5634" width="13" style="188" bestFit="1" customWidth="1"/>
    <col min="5635" max="5635" width="15.875" style="188" bestFit="1" customWidth="1"/>
    <col min="5636" max="5636" width="25.625" style="188" customWidth="1"/>
    <col min="5637" max="5637" width="48.75" style="188" customWidth="1"/>
    <col min="5638" max="5639" width="10.5" style="188" bestFit="1" customWidth="1"/>
    <col min="5640" max="5641" width="9.75" style="188" bestFit="1" customWidth="1"/>
    <col min="5642" max="5888" width="9" style="188"/>
    <col min="5889" max="5889" width="8.375" style="188" customWidth="1"/>
    <col min="5890" max="5890" width="13" style="188" bestFit="1" customWidth="1"/>
    <col min="5891" max="5891" width="15.875" style="188" bestFit="1" customWidth="1"/>
    <col min="5892" max="5892" width="25.625" style="188" customWidth="1"/>
    <col min="5893" max="5893" width="48.75" style="188" customWidth="1"/>
    <col min="5894" max="5895" width="10.5" style="188" bestFit="1" customWidth="1"/>
    <col min="5896" max="5897" width="9.75" style="188" bestFit="1" customWidth="1"/>
    <col min="5898" max="6144" width="9" style="188"/>
    <col min="6145" max="6145" width="8.375" style="188" customWidth="1"/>
    <col min="6146" max="6146" width="13" style="188" bestFit="1" customWidth="1"/>
    <col min="6147" max="6147" width="15.875" style="188" bestFit="1" customWidth="1"/>
    <col min="6148" max="6148" width="25.625" style="188" customWidth="1"/>
    <col min="6149" max="6149" width="48.75" style="188" customWidth="1"/>
    <col min="6150" max="6151" width="10.5" style="188" bestFit="1" customWidth="1"/>
    <col min="6152" max="6153" width="9.75" style="188" bestFit="1" customWidth="1"/>
    <col min="6154" max="6400" width="9" style="188"/>
    <col min="6401" max="6401" width="8.375" style="188" customWidth="1"/>
    <col min="6402" max="6402" width="13" style="188" bestFit="1" customWidth="1"/>
    <col min="6403" max="6403" width="15.875" style="188" bestFit="1" customWidth="1"/>
    <col min="6404" max="6404" width="25.625" style="188" customWidth="1"/>
    <col min="6405" max="6405" width="48.75" style="188" customWidth="1"/>
    <col min="6406" max="6407" width="10.5" style="188" bestFit="1" customWidth="1"/>
    <col min="6408" max="6409" width="9.75" style="188" bestFit="1" customWidth="1"/>
    <col min="6410" max="6656" width="9" style="188"/>
    <col min="6657" max="6657" width="8.375" style="188" customWidth="1"/>
    <col min="6658" max="6658" width="13" style="188" bestFit="1" customWidth="1"/>
    <col min="6659" max="6659" width="15.875" style="188" bestFit="1" customWidth="1"/>
    <col min="6660" max="6660" width="25.625" style="188" customWidth="1"/>
    <col min="6661" max="6661" width="48.75" style="188" customWidth="1"/>
    <col min="6662" max="6663" width="10.5" style="188" bestFit="1" customWidth="1"/>
    <col min="6664" max="6665" width="9.75" style="188" bestFit="1" customWidth="1"/>
    <col min="6666" max="6912" width="9" style="188"/>
    <col min="6913" max="6913" width="8.375" style="188" customWidth="1"/>
    <col min="6914" max="6914" width="13" style="188" bestFit="1" customWidth="1"/>
    <col min="6915" max="6915" width="15.875" style="188" bestFit="1" customWidth="1"/>
    <col min="6916" max="6916" width="25.625" style="188" customWidth="1"/>
    <col min="6917" max="6917" width="48.75" style="188" customWidth="1"/>
    <col min="6918" max="6919" width="10.5" style="188" bestFit="1" customWidth="1"/>
    <col min="6920" max="6921" width="9.75" style="188" bestFit="1" customWidth="1"/>
    <col min="6922" max="7168" width="9" style="188"/>
    <col min="7169" max="7169" width="8.375" style="188" customWidth="1"/>
    <col min="7170" max="7170" width="13" style="188" bestFit="1" customWidth="1"/>
    <col min="7171" max="7171" width="15.875" style="188" bestFit="1" customWidth="1"/>
    <col min="7172" max="7172" width="25.625" style="188" customWidth="1"/>
    <col min="7173" max="7173" width="48.75" style="188" customWidth="1"/>
    <col min="7174" max="7175" width="10.5" style="188" bestFit="1" customWidth="1"/>
    <col min="7176" max="7177" width="9.75" style="188" bestFit="1" customWidth="1"/>
    <col min="7178" max="7424" width="9" style="188"/>
    <col min="7425" max="7425" width="8.375" style="188" customWidth="1"/>
    <col min="7426" max="7426" width="13" style="188" bestFit="1" customWidth="1"/>
    <col min="7427" max="7427" width="15.875" style="188" bestFit="1" customWidth="1"/>
    <col min="7428" max="7428" width="25.625" style="188" customWidth="1"/>
    <col min="7429" max="7429" width="48.75" style="188" customWidth="1"/>
    <col min="7430" max="7431" width="10.5" style="188" bestFit="1" customWidth="1"/>
    <col min="7432" max="7433" width="9.75" style="188" bestFit="1" customWidth="1"/>
    <col min="7434" max="7680" width="9" style="188"/>
    <col min="7681" max="7681" width="8.375" style="188" customWidth="1"/>
    <col min="7682" max="7682" width="13" style="188" bestFit="1" customWidth="1"/>
    <col min="7683" max="7683" width="15.875" style="188" bestFit="1" customWidth="1"/>
    <col min="7684" max="7684" width="25.625" style="188" customWidth="1"/>
    <col min="7685" max="7685" width="48.75" style="188" customWidth="1"/>
    <col min="7686" max="7687" width="10.5" style="188" bestFit="1" customWidth="1"/>
    <col min="7688" max="7689" width="9.75" style="188" bestFit="1" customWidth="1"/>
    <col min="7690" max="7936" width="9" style="188"/>
    <col min="7937" max="7937" width="8.375" style="188" customWidth="1"/>
    <col min="7938" max="7938" width="13" style="188" bestFit="1" customWidth="1"/>
    <col min="7939" max="7939" width="15.875" style="188" bestFit="1" customWidth="1"/>
    <col min="7940" max="7940" width="25.625" style="188" customWidth="1"/>
    <col min="7941" max="7941" width="48.75" style="188" customWidth="1"/>
    <col min="7942" max="7943" width="10.5" style="188" bestFit="1" customWidth="1"/>
    <col min="7944" max="7945" width="9.75" style="188" bestFit="1" customWidth="1"/>
    <col min="7946" max="8192" width="9" style="188"/>
    <col min="8193" max="8193" width="8.375" style="188" customWidth="1"/>
    <col min="8194" max="8194" width="13" style="188" bestFit="1" customWidth="1"/>
    <col min="8195" max="8195" width="15.875" style="188" bestFit="1" customWidth="1"/>
    <col min="8196" max="8196" width="25.625" style="188" customWidth="1"/>
    <col min="8197" max="8197" width="48.75" style="188" customWidth="1"/>
    <col min="8198" max="8199" width="10.5" style="188" bestFit="1" customWidth="1"/>
    <col min="8200" max="8201" width="9.75" style="188" bestFit="1" customWidth="1"/>
    <col min="8202" max="8448" width="9" style="188"/>
    <col min="8449" max="8449" width="8.375" style="188" customWidth="1"/>
    <col min="8450" max="8450" width="13" style="188" bestFit="1" customWidth="1"/>
    <col min="8451" max="8451" width="15.875" style="188" bestFit="1" customWidth="1"/>
    <col min="8452" max="8452" width="25.625" style="188" customWidth="1"/>
    <col min="8453" max="8453" width="48.75" style="188" customWidth="1"/>
    <col min="8454" max="8455" width="10.5" style="188" bestFit="1" customWidth="1"/>
    <col min="8456" max="8457" width="9.75" style="188" bestFit="1" customWidth="1"/>
    <col min="8458" max="8704" width="9" style="188"/>
    <col min="8705" max="8705" width="8.375" style="188" customWidth="1"/>
    <col min="8706" max="8706" width="13" style="188" bestFit="1" customWidth="1"/>
    <col min="8707" max="8707" width="15.875" style="188" bestFit="1" customWidth="1"/>
    <col min="8708" max="8708" width="25.625" style="188" customWidth="1"/>
    <col min="8709" max="8709" width="48.75" style="188" customWidth="1"/>
    <col min="8710" max="8711" width="10.5" style="188" bestFit="1" customWidth="1"/>
    <col min="8712" max="8713" width="9.75" style="188" bestFit="1" customWidth="1"/>
    <col min="8714" max="8960" width="9" style="188"/>
    <col min="8961" max="8961" width="8.375" style="188" customWidth="1"/>
    <col min="8962" max="8962" width="13" style="188" bestFit="1" customWidth="1"/>
    <col min="8963" max="8963" width="15.875" style="188" bestFit="1" customWidth="1"/>
    <col min="8964" max="8964" width="25.625" style="188" customWidth="1"/>
    <col min="8965" max="8965" width="48.75" style="188" customWidth="1"/>
    <col min="8966" max="8967" width="10.5" style="188" bestFit="1" customWidth="1"/>
    <col min="8968" max="8969" width="9.75" style="188" bestFit="1" customWidth="1"/>
    <col min="8970" max="9216" width="9" style="188"/>
    <col min="9217" max="9217" width="8.375" style="188" customWidth="1"/>
    <col min="9218" max="9218" width="13" style="188" bestFit="1" customWidth="1"/>
    <col min="9219" max="9219" width="15.875" style="188" bestFit="1" customWidth="1"/>
    <col min="9220" max="9220" width="25.625" style="188" customWidth="1"/>
    <col min="9221" max="9221" width="48.75" style="188" customWidth="1"/>
    <col min="9222" max="9223" width="10.5" style="188" bestFit="1" customWidth="1"/>
    <col min="9224" max="9225" width="9.75" style="188" bestFit="1" customWidth="1"/>
    <col min="9226" max="9472" width="9" style="188"/>
    <col min="9473" max="9473" width="8.375" style="188" customWidth="1"/>
    <col min="9474" max="9474" width="13" style="188" bestFit="1" customWidth="1"/>
    <col min="9475" max="9475" width="15.875" style="188" bestFit="1" customWidth="1"/>
    <col min="9476" max="9476" width="25.625" style="188" customWidth="1"/>
    <col min="9477" max="9477" width="48.75" style="188" customWidth="1"/>
    <col min="9478" max="9479" width="10.5" style="188" bestFit="1" customWidth="1"/>
    <col min="9480" max="9481" width="9.75" style="188" bestFit="1" customWidth="1"/>
    <col min="9482" max="9728" width="9" style="188"/>
    <col min="9729" max="9729" width="8.375" style="188" customWidth="1"/>
    <col min="9730" max="9730" width="13" style="188" bestFit="1" customWidth="1"/>
    <col min="9731" max="9731" width="15.875" style="188" bestFit="1" customWidth="1"/>
    <col min="9732" max="9732" width="25.625" style="188" customWidth="1"/>
    <col min="9733" max="9733" width="48.75" style="188" customWidth="1"/>
    <col min="9734" max="9735" width="10.5" style="188" bestFit="1" customWidth="1"/>
    <col min="9736" max="9737" width="9.75" style="188" bestFit="1" customWidth="1"/>
    <col min="9738" max="9984" width="9" style="188"/>
    <col min="9985" max="9985" width="8.375" style="188" customWidth="1"/>
    <col min="9986" max="9986" width="13" style="188" bestFit="1" customWidth="1"/>
    <col min="9987" max="9987" width="15.875" style="188" bestFit="1" customWidth="1"/>
    <col min="9988" max="9988" width="25.625" style="188" customWidth="1"/>
    <col min="9989" max="9989" width="48.75" style="188" customWidth="1"/>
    <col min="9990" max="9991" width="10.5" style="188" bestFit="1" customWidth="1"/>
    <col min="9992" max="9993" width="9.75" style="188" bestFit="1" customWidth="1"/>
    <col min="9994" max="10240" width="9" style="188"/>
    <col min="10241" max="10241" width="8.375" style="188" customWidth="1"/>
    <col min="10242" max="10242" width="13" style="188" bestFit="1" customWidth="1"/>
    <col min="10243" max="10243" width="15.875" style="188" bestFit="1" customWidth="1"/>
    <col min="10244" max="10244" width="25.625" style="188" customWidth="1"/>
    <col min="10245" max="10245" width="48.75" style="188" customWidth="1"/>
    <col min="10246" max="10247" width="10.5" style="188" bestFit="1" customWidth="1"/>
    <col min="10248" max="10249" width="9.75" style="188" bestFit="1" customWidth="1"/>
    <col min="10250" max="10496" width="9" style="188"/>
    <col min="10497" max="10497" width="8.375" style="188" customWidth="1"/>
    <col min="10498" max="10498" width="13" style="188" bestFit="1" customWidth="1"/>
    <col min="10499" max="10499" width="15.875" style="188" bestFit="1" customWidth="1"/>
    <col min="10500" max="10500" width="25.625" style="188" customWidth="1"/>
    <col min="10501" max="10501" width="48.75" style="188" customWidth="1"/>
    <col min="10502" max="10503" width="10.5" style="188" bestFit="1" customWidth="1"/>
    <col min="10504" max="10505" width="9.75" style="188" bestFit="1" customWidth="1"/>
    <col min="10506" max="10752" width="9" style="188"/>
    <col min="10753" max="10753" width="8.375" style="188" customWidth="1"/>
    <col min="10754" max="10754" width="13" style="188" bestFit="1" customWidth="1"/>
    <col min="10755" max="10755" width="15.875" style="188" bestFit="1" customWidth="1"/>
    <col min="10756" max="10756" width="25.625" style="188" customWidth="1"/>
    <col min="10757" max="10757" width="48.75" style="188" customWidth="1"/>
    <col min="10758" max="10759" width="10.5" style="188" bestFit="1" customWidth="1"/>
    <col min="10760" max="10761" width="9.75" style="188" bestFit="1" customWidth="1"/>
    <col min="10762" max="11008" width="9" style="188"/>
    <col min="11009" max="11009" width="8.375" style="188" customWidth="1"/>
    <col min="11010" max="11010" width="13" style="188" bestFit="1" customWidth="1"/>
    <col min="11011" max="11011" width="15.875" style="188" bestFit="1" customWidth="1"/>
    <col min="11012" max="11012" width="25.625" style="188" customWidth="1"/>
    <col min="11013" max="11013" width="48.75" style="188" customWidth="1"/>
    <col min="11014" max="11015" width="10.5" style="188" bestFit="1" customWidth="1"/>
    <col min="11016" max="11017" width="9.75" style="188" bestFit="1" customWidth="1"/>
    <col min="11018" max="11264" width="9" style="188"/>
    <col min="11265" max="11265" width="8.375" style="188" customWidth="1"/>
    <col min="11266" max="11266" width="13" style="188" bestFit="1" customWidth="1"/>
    <col min="11267" max="11267" width="15.875" style="188" bestFit="1" customWidth="1"/>
    <col min="11268" max="11268" width="25.625" style="188" customWidth="1"/>
    <col min="11269" max="11269" width="48.75" style="188" customWidth="1"/>
    <col min="11270" max="11271" width="10.5" style="188" bestFit="1" customWidth="1"/>
    <col min="11272" max="11273" width="9.75" style="188" bestFit="1" customWidth="1"/>
    <col min="11274" max="11520" width="9" style="188"/>
    <col min="11521" max="11521" width="8.375" style="188" customWidth="1"/>
    <col min="11522" max="11522" width="13" style="188" bestFit="1" customWidth="1"/>
    <col min="11523" max="11523" width="15.875" style="188" bestFit="1" customWidth="1"/>
    <col min="11524" max="11524" width="25.625" style="188" customWidth="1"/>
    <col min="11525" max="11525" width="48.75" style="188" customWidth="1"/>
    <col min="11526" max="11527" width="10.5" style="188" bestFit="1" customWidth="1"/>
    <col min="11528" max="11529" width="9.75" style="188" bestFit="1" customWidth="1"/>
    <col min="11530" max="11776" width="9" style="188"/>
    <col min="11777" max="11777" width="8.375" style="188" customWidth="1"/>
    <col min="11778" max="11778" width="13" style="188" bestFit="1" customWidth="1"/>
    <col min="11779" max="11779" width="15.875" style="188" bestFit="1" customWidth="1"/>
    <col min="11780" max="11780" width="25.625" style="188" customWidth="1"/>
    <col min="11781" max="11781" width="48.75" style="188" customWidth="1"/>
    <col min="11782" max="11783" width="10.5" style="188" bestFit="1" customWidth="1"/>
    <col min="11784" max="11785" width="9.75" style="188" bestFit="1" customWidth="1"/>
    <col min="11786" max="12032" width="9" style="188"/>
    <col min="12033" max="12033" width="8.375" style="188" customWidth="1"/>
    <col min="12034" max="12034" width="13" style="188" bestFit="1" customWidth="1"/>
    <col min="12035" max="12035" width="15.875" style="188" bestFit="1" customWidth="1"/>
    <col min="12036" max="12036" width="25.625" style="188" customWidth="1"/>
    <col min="12037" max="12037" width="48.75" style="188" customWidth="1"/>
    <col min="12038" max="12039" width="10.5" style="188" bestFit="1" customWidth="1"/>
    <col min="12040" max="12041" width="9.75" style="188" bestFit="1" customWidth="1"/>
    <col min="12042" max="12288" width="9" style="188"/>
    <col min="12289" max="12289" width="8.375" style="188" customWidth="1"/>
    <col min="12290" max="12290" width="13" style="188" bestFit="1" customWidth="1"/>
    <col min="12291" max="12291" width="15.875" style="188" bestFit="1" customWidth="1"/>
    <col min="12292" max="12292" width="25.625" style="188" customWidth="1"/>
    <col min="12293" max="12293" width="48.75" style="188" customWidth="1"/>
    <col min="12294" max="12295" width="10.5" style="188" bestFit="1" customWidth="1"/>
    <col min="12296" max="12297" width="9.75" style="188" bestFit="1" customWidth="1"/>
    <col min="12298" max="12544" width="9" style="188"/>
    <col min="12545" max="12545" width="8.375" style="188" customWidth="1"/>
    <col min="12546" max="12546" width="13" style="188" bestFit="1" customWidth="1"/>
    <col min="12547" max="12547" width="15.875" style="188" bestFit="1" customWidth="1"/>
    <col min="12548" max="12548" width="25.625" style="188" customWidth="1"/>
    <col min="12549" max="12549" width="48.75" style="188" customWidth="1"/>
    <col min="12550" max="12551" width="10.5" style="188" bestFit="1" customWidth="1"/>
    <col min="12552" max="12553" width="9.75" style="188" bestFit="1" customWidth="1"/>
    <col min="12554" max="12800" width="9" style="188"/>
    <col min="12801" max="12801" width="8.375" style="188" customWidth="1"/>
    <col min="12802" max="12802" width="13" style="188" bestFit="1" customWidth="1"/>
    <col min="12803" max="12803" width="15.875" style="188" bestFit="1" customWidth="1"/>
    <col min="12804" max="12804" width="25.625" style="188" customWidth="1"/>
    <col min="12805" max="12805" width="48.75" style="188" customWidth="1"/>
    <col min="12806" max="12807" width="10.5" style="188" bestFit="1" customWidth="1"/>
    <col min="12808" max="12809" width="9.75" style="188" bestFit="1" customWidth="1"/>
    <col min="12810" max="13056" width="9" style="188"/>
    <col min="13057" max="13057" width="8.375" style="188" customWidth="1"/>
    <col min="13058" max="13058" width="13" style="188" bestFit="1" customWidth="1"/>
    <col min="13059" max="13059" width="15.875" style="188" bestFit="1" customWidth="1"/>
    <col min="13060" max="13060" width="25.625" style="188" customWidth="1"/>
    <col min="13061" max="13061" width="48.75" style="188" customWidth="1"/>
    <col min="13062" max="13063" width="10.5" style="188" bestFit="1" customWidth="1"/>
    <col min="13064" max="13065" width="9.75" style="188" bestFit="1" customWidth="1"/>
    <col min="13066" max="13312" width="9" style="188"/>
    <col min="13313" max="13313" width="8.375" style="188" customWidth="1"/>
    <col min="13314" max="13314" width="13" style="188" bestFit="1" customWidth="1"/>
    <col min="13315" max="13315" width="15.875" style="188" bestFit="1" customWidth="1"/>
    <col min="13316" max="13316" width="25.625" style="188" customWidth="1"/>
    <col min="13317" max="13317" width="48.75" style="188" customWidth="1"/>
    <col min="13318" max="13319" width="10.5" style="188" bestFit="1" customWidth="1"/>
    <col min="13320" max="13321" width="9.75" style="188" bestFit="1" customWidth="1"/>
    <col min="13322" max="13568" width="9" style="188"/>
    <col min="13569" max="13569" width="8.375" style="188" customWidth="1"/>
    <col min="13570" max="13570" width="13" style="188" bestFit="1" customWidth="1"/>
    <col min="13571" max="13571" width="15.875" style="188" bestFit="1" customWidth="1"/>
    <col min="13572" max="13572" width="25.625" style="188" customWidth="1"/>
    <col min="13573" max="13573" width="48.75" style="188" customWidth="1"/>
    <col min="13574" max="13575" width="10.5" style="188" bestFit="1" customWidth="1"/>
    <col min="13576" max="13577" width="9.75" style="188" bestFit="1" customWidth="1"/>
    <col min="13578" max="13824" width="9" style="188"/>
    <col min="13825" max="13825" width="8.375" style="188" customWidth="1"/>
    <col min="13826" max="13826" width="13" style="188" bestFit="1" customWidth="1"/>
    <col min="13827" max="13827" width="15.875" style="188" bestFit="1" customWidth="1"/>
    <col min="13828" max="13828" width="25.625" style="188" customWidth="1"/>
    <col min="13829" max="13829" width="48.75" style="188" customWidth="1"/>
    <col min="13830" max="13831" width="10.5" style="188" bestFit="1" customWidth="1"/>
    <col min="13832" max="13833" width="9.75" style="188" bestFit="1" customWidth="1"/>
    <col min="13834" max="14080" width="9" style="188"/>
    <col min="14081" max="14081" width="8.375" style="188" customWidth="1"/>
    <col min="14082" max="14082" width="13" style="188" bestFit="1" customWidth="1"/>
    <col min="14083" max="14083" width="15.875" style="188" bestFit="1" customWidth="1"/>
    <col min="14084" max="14084" width="25.625" style="188" customWidth="1"/>
    <col min="14085" max="14085" width="48.75" style="188" customWidth="1"/>
    <col min="14086" max="14087" width="10.5" style="188" bestFit="1" customWidth="1"/>
    <col min="14088" max="14089" width="9.75" style="188" bestFit="1" customWidth="1"/>
    <col min="14090" max="14336" width="9" style="188"/>
    <col min="14337" max="14337" width="8.375" style="188" customWidth="1"/>
    <col min="14338" max="14338" width="13" style="188" bestFit="1" customWidth="1"/>
    <col min="14339" max="14339" width="15.875" style="188" bestFit="1" customWidth="1"/>
    <col min="14340" max="14340" width="25.625" style="188" customWidth="1"/>
    <col min="14341" max="14341" width="48.75" style="188" customWidth="1"/>
    <col min="14342" max="14343" width="10.5" style="188" bestFit="1" customWidth="1"/>
    <col min="14344" max="14345" width="9.75" style="188" bestFit="1" customWidth="1"/>
    <col min="14346" max="14592" width="9" style="188"/>
    <col min="14593" max="14593" width="8.375" style="188" customWidth="1"/>
    <col min="14594" max="14594" width="13" style="188" bestFit="1" customWidth="1"/>
    <col min="14595" max="14595" width="15.875" style="188" bestFit="1" customWidth="1"/>
    <col min="14596" max="14596" width="25.625" style="188" customWidth="1"/>
    <col min="14597" max="14597" width="48.75" style="188" customWidth="1"/>
    <col min="14598" max="14599" width="10.5" style="188" bestFit="1" customWidth="1"/>
    <col min="14600" max="14601" width="9.75" style="188" bestFit="1" customWidth="1"/>
    <col min="14602" max="14848" width="9" style="188"/>
    <col min="14849" max="14849" width="8.375" style="188" customWidth="1"/>
    <col min="14850" max="14850" width="13" style="188" bestFit="1" customWidth="1"/>
    <col min="14851" max="14851" width="15.875" style="188" bestFit="1" customWidth="1"/>
    <col min="14852" max="14852" width="25.625" style="188" customWidth="1"/>
    <col min="14853" max="14853" width="48.75" style="188" customWidth="1"/>
    <col min="14854" max="14855" width="10.5" style="188" bestFit="1" customWidth="1"/>
    <col min="14856" max="14857" width="9.75" style="188" bestFit="1" customWidth="1"/>
    <col min="14858" max="15104" width="9" style="188"/>
    <col min="15105" max="15105" width="8.375" style="188" customWidth="1"/>
    <col min="15106" max="15106" width="13" style="188" bestFit="1" customWidth="1"/>
    <col min="15107" max="15107" width="15.875" style="188" bestFit="1" customWidth="1"/>
    <col min="15108" max="15108" width="25.625" style="188" customWidth="1"/>
    <col min="15109" max="15109" width="48.75" style="188" customWidth="1"/>
    <col min="15110" max="15111" width="10.5" style="188" bestFit="1" customWidth="1"/>
    <col min="15112" max="15113" width="9.75" style="188" bestFit="1" customWidth="1"/>
    <col min="15114" max="15360" width="9" style="188"/>
    <col min="15361" max="15361" width="8.375" style="188" customWidth="1"/>
    <col min="15362" max="15362" width="13" style="188" bestFit="1" customWidth="1"/>
    <col min="15363" max="15363" width="15.875" style="188" bestFit="1" customWidth="1"/>
    <col min="15364" max="15364" width="25.625" style="188" customWidth="1"/>
    <col min="15365" max="15365" width="48.75" style="188" customWidth="1"/>
    <col min="15366" max="15367" width="10.5" style="188" bestFit="1" customWidth="1"/>
    <col min="15368" max="15369" width="9.75" style="188" bestFit="1" customWidth="1"/>
    <col min="15370" max="15616" width="9" style="188"/>
    <col min="15617" max="15617" width="8.375" style="188" customWidth="1"/>
    <col min="15618" max="15618" width="13" style="188" bestFit="1" customWidth="1"/>
    <col min="15619" max="15619" width="15.875" style="188" bestFit="1" customWidth="1"/>
    <col min="15620" max="15620" width="25.625" style="188" customWidth="1"/>
    <col min="15621" max="15621" width="48.75" style="188" customWidth="1"/>
    <col min="15622" max="15623" width="10.5" style="188" bestFit="1" customWidth="1"/>
    <col min="15624" max="15625" width="9.75" style="188" bestFit="1" customWidth="1"/>
    <col min="15626" max="15872" width="9" style="188"/>
    <col min="15873" max="15873" width="8.375" style="188" customWidth="1"/>
    <col min="15874" max="15874" width="13" style="188" bestFit="1" customWidth="1"/>
    <col min="15875" max="15875" width="15.875" style="188" bestFit="1" customWidth="1"/>
    <col min="15876" max="15876" width="25.625" style="188" customWidth="1"/>
    <col min="15877" max="15877" width="48.75" style="188" customWidth="1"/>
    <col min="15878" max="15879" width="10.5" style="188" bestFit="1" customWidth="1"/>
    <col min="15880" max="15881" width="9.75" style="188" bestFit="1" customWidth="1"/>
    <col min="15882" max="16128" width="9" style="188"/>
    <col min="16129" max="16129" width="8.375" style="188" customWidth="1"/>
    <col min="16130" max="16130" width="13" style="188" bestFit="1" customWidth="1"/>
    <col min="16131" max="16131" width="15.875" style="188" bestFit="1" customWidth="1"/>
    <col min="16132" max="16132" width="25.625" style="188" customWidth="1"/>
    <col min="16133" max="16133" width="48.75" style="188" customWidth="1"/>
    <col min="16134" max="16135" width="10.5" style="188" bestFit="1" customWidth="1"/>
    <col min="16136" max="16137" width="9.75" style="188" bestFit="1" customWidth="1"/>
    <col min="16138" max="16384" width="9" style="188"/>
  </cols>
  <sheetData>
    <row r="1" spans="1:9" s="174" customFormat="1" ht="26.25" x14ac:dyDescent="0.2">
      <c r="A1" s="636" t="s">
        <v>788</v>
      </c>
      <c r="B1" s="636"/>
      <c r="C1" s="636"/>
      <c r="D1" s="636"/>
      <c r="E1" s="636"/>
      <c r="F1" s="636"/>
      <c r="G1" s="636"/>
      <c r="H1" s="636"/>
      <c r="I1" s="636"/>
    </row>
    <row r="2" spans="1:9" s="174" customFormat="1" x14ac:dyDescent="0.2">
      <c r="A2" s="175"/>
      <c r="B2" s="175"/>
      <c r="C2" s="175"/>
      <c r="D2" s="175"/>
      <c r="E2" s="176"/>
      <c r="F2" s="175"/>
      <c r="G2" s="175"/>
      <c r="H2" s="175"/>
      <c r="I2" s="175"/>
    </row>
    <row r="3" spans="1:9" s="177" customFormat="1" x14ac:dyDescent="0.2">
      <c r="A3" s="635" t="s">
        <v>1</v>
      </c>
      <c r="B3" s="635" t="s">
        <v>2</v>
      </c>
      <c r="C3" s="635" t="s">
        <v>789</v>
      </c>
      <c r="D3" s="633" t="s">
        <v>3</v>
      </c>
      <c r="E3" s="633" t="s">
        <v>90</v>
      </c>
      <c r="F3" s="633" t="s">
        <v>4</v>
      </c>
      <c r="G3" s="634" t="s">
        <v>5</v>
      </c>
      <c r="H3" s="634"/>
      <c r="I3" s="634"/>
    </row>
    <row r="4" spans="1:9" s="177" customFormat="1" x14ac:dyDescent="0.2">
      <c r="A4" s="635"/>
      <c r="B4" s="635"/>
      <c r="C4" s="635"/>
      <c r="D4" s="633"/>
      <c r="E4" s="633"/>
      <c r="F4" s="633"/>
      <c r="G4" s="178" t="s">
        <v>8</v>
      </c>
      <c r="H4" s="178" t="s">
        <v>9</v>
      </c>
      <c r="I4" s="178" t="s">
        <v>3</v>
      </c>
    </row>
    <row r="5" spans="1:9" s="174" customFormat="1" ht="126" x14ac:dyDescent="0.2">
      <c r="A5" s="179">
        <v>240231</v>
      </c>
      <c r="B5" s="180" t="s">
        <v>790</v>
      </c>
      <c r="C5" s="181" t="s">
        <v>791</v>
      </c>
      <c r="D5" s="180" t="s">
        <v>792</v>
      </c>
      <c r="E5" s="182" t="s">
        <v>793</v>
      </c>
      <c r="F5" s="183">
        <v>779000</v>
      </c>
      <c r="G5" s="183">
        <f t="shared" ref="G5:G8" si="0">+F5*90/100</f>
        <v>701100</v>
      </c>
      <c r="H5" s="183">
        <f t="shared" ref="H5:H8" si="1">+F5*5/100</f>
        <v>38950</v>
      </c>
      <c r="I5" s="183">
        <f t="shared" ref="I5:I8" si="2">+F5*5/100</f>
        <v>38950</v>
      </c>
    </row>
    <row r="6" spans="1:9" s="174" customFormat="1" ht="105" x14ac:dyDescent="0.2">
      <c r="A6" s="179">
        <v>240231</v>
      </c>
      <c r="B6" s="180" t="s">
        <v>794</v>
      </c>
      <c r="C6" s="181" t="s">
        <v>795</v>
      </c>
      <c r="D6" s="180" t="s">
        <v>792</v>
      </c>
      <c r="E6" s="182" t="s">
        <v>796</v>
      </c>
      <c r="F6" s="183">
        <v>150000</v>
      </c>
      <c r="G6" s="183">
        <f t="shared" si="0"/>
        <v>135000</v>
      </c>
      <c r="H6" s="183">
        <f t="shared" si="1"/>
        <v>7500</v>
      </c>
      <c r="I6" s="183">
        <f t="shared" si="2"/>
        <v>7500</v>
      </c>
    </row>
    <row r="7" spans="1:9" s="174" customFormat="1" ht="105" x14ac:dyDescent="0.2">
      <c r="A7" s="179">
        <v>240231</v>
      </c>
      <c r="B7" s="180" t="s">
        <v>797</v>
      </c>
      <c r="C7" s="181" t="s">
        <v>798</v>
      </c>
      <c r="D7" s="180" t="s">
        <v>792</v>
      </c>
      <c r="E7" s="182" t="s">
        <v>799</v>
      </c>
      <c r="F7" s="183">
        <v>100000</v>
      </c>
      <c r="G7" s="183">
        <f t="shared" si="0"/>
        <v>90000</v>
      </c>
      <c r="H7" s="183">
        <f t="shared" si="1"/>
        <v>5000</v>
      </c>
      <c r="I7" s="183">
        <f t="shared" si="2"/>
        <v>5000</v>
      </c>
    </row>
    <row r="8" spans="1:9" s="174" customFormat="1" ht="105" x14ac:dyDescent="0.2">
      <c r="A8" s="179">
        <v>240233</v>
      </c>
      <c r="B8" s="180" t="s">
        <v>800</v>
      </c>
      <c r="C8" s="181" t="s">
        <v>801</v>
      </c>
      <c r="D8" s="180" t="s">
        <v>792</v>
      </c>
      <c r="E8" s="182" t="s">
        <v>802</v>
      </c>
      <c r="F8" s="183">
        <v>85000</v>
      </c>
      <c r="G8" s="183">
        <f t="shared" si="0"/>
        <v>76500</v>
      </c>
      <c r="H8" s="183">
        <f t="shared" si="1"/>
        <v>4250</v>
      </c>
      <c r="I8" s="183">
        <f t="shared" si="2"/>
        <v>4250</v>
      </c>
    </row>
    <row r="9" spans="1:9" ht="21.75" thickBot="1" x14ac:dyDescent="0.25">
      <c r="A9" s="196"/>
      <c r="B9" s="196"/>
      <c r="C9" s="196"/>
      <c r="D9" s="196"/>
      <c r="E9" s="197"/>
      <c r="F9" s="198">
        <f>SUM(F5:F8)</f>
        <v>1114000</v>
      </c>
      <c r="G9" s="198">
        <f>SUM(G5:G8)</f>
        <v>1002600</v>
      </c>
      <c r="H9" s="198">
        <f>SUM(H5:H8)</f>
        <v>55700</v>
      </c>
      <c r="I9" s="198">
        <f>SUM(I5:I8)</f>
        <v>55700</v>
      </c>
    </row>
    <row r="10" spans="1:9" ht="21.75" thickTop="1" x14ac:dyDescent="0.2">
      <c r="I10" s="200">
        <f>+F9-G9-H9-I9</f>
        <v>0</v>
      </c>
    </row>
    <row r="12" spans="1:9" x14ac:dyDescent="0.2">
      <c r="B12" s="201" t="s">
        <v>85</v>
      </c>
      <c r="C12" s="188" t="s">
        <v>86</v>
      </c>
      <c r="D12" s="188"/>
      <c r="E12" s="202"/>
    </row>
    <row r="13" spans="1:9" x14ac:dyDescent="0.2">
      <c r="B13" s="201" t="s">
        <v>3</v>
      </c>
      <c r="C13" s="188" t="s">
        <v>87</v>
      </c>
      <c r="D13" s="188"/>
      <c r="E13" s="202"/>
    </row>
    <row r="14" spans="1:9" x14ac:dyDescent="0.2">
      <c r="B14" s="201" t="s">
        <v>88</v>
      </c>
      <c r="C14" s="188" t="s">
        <v>89</v>
      </c>
      <c r="D14" s="188"/>
      <c r="E14" s="202"/>
    </row>
    <row r="15" spans="1:9" x14ac:dyDescent="0.2">
      <c r="B15" s="201" t="s">
        <v>90</v>
      </c>
      <c r="C15" s="188" t="s">
        <v>91</v>
      </c>
      <c r="D15" s="188"/>
      <c r="E15" s="202"/>
    </row>
    <row r="16" spans="1:9" s="177" customFormat="1" x14ac:dyDescent="0.2">
      <c r="A16" s="174"/>
      <c r="B16" s="201" t="s">
        <v>92</v>
      </c>
      <c r="C16" s="203" t="s">
        <v>93</v>
      </c>
      <c r="E16" s="204"/>
      <c r="F16" s="200"/>
      <c r="G16" s="200"/>
      <c r="H16" s="200"/>
      <c r="I16" s="200"/>
    </row>
  </sheetData>
  <mergeCells count="8">
    <mergeCell ref="A1:I1"/>
    <mergeCell ref="A3:A4"/>
    <mergeCell ref="B3:B4"/>
    <mergeCell ref="C3:C4"/>
    <mergeCell ref="D3:D4"/>
    <mergeCell ref="E3:E4"/>
    <mergeCell ref="F3:F4"/>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0"/>
  <sheetViews>
    <sheetView zoomScaleNormal="100" workbookViewId="0">
      <selection activeCell="A24" sqref="A24:B24"/>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17.5" style="325" customWidth="1"/>
    <col min="11"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17.5" style="325" customWidth="1"/>
    <col min="267"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17.5" style="325" customWidth="1"/>
    <col min="523"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17.5" style="325" customWidth="1"/>
    <col min="779"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17.5" style="325" customWidth="1"/>
    <col min="1035"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17.5" style="325" customWidth="1"/>
    <col min="1291"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17.5" style="325" customWidth="1"/>
    <col min="1547"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17.5" style="325" customWidth="1"/>
    <col min="1803"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17.5" style="325" customWidth="1"/>
    <col min="2059"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17.5" style="325" customWidth="1"/>
    <col min="2315"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17.5" style="325" customWidth="1"/>
    <col min="2571"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17.5" style="325" customWidth="1"/>
    <col min="2827"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17.5" style="325" customWidth="1"/>
    <col min="3083"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17.5" style="325" customWidth="1"/>
    <col min="3339"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17.5" style="325" customWidth="1"/>
    <col min="3595"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17.5" style="325" customWidth="1"/>
    <col min="3851"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17.5" style="325" customWidth="1"/>
    <col min="4107"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17.5" style="325" customWidth="1"/>
    <col min="4363"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17.5" style="325" customWidth="1"/>
    <col min="4619"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17.5" style="325" customWidth="1"/>
    <col min="4875"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17.5" style="325" customWidth="1"/>
    <col min="5131"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17.5" style="325" customWidth="1"/>
    <col min="5387"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17.5" style="325" customWidth="1"/>
    <col min="5643"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17.5" style="325" customWidth="1"/>
    <col min="5899"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17.5" style="325" customWidth="1"/>
    <col min="6155"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17.5" style="325" customWidth="1"/>
    <col min="6411"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17.5" style="325" customWidth="1"/>
    <col min="6667"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17.5" style="325" customWidth="1"/>
    <col min="6923"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17.5" style="325" customWidth="1"/>
    <col min="7179"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17.5" style="325" customWidth="1"/>
    <col min="7435"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17.5" style="325" customWidth="1"/>
    <col min="7691"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17.5" style="325" customWidth="1"/>
    <col min="7947"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17.5" style="325" customWidth="1"/>
    <col min="8203"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17.5" style="325" customWidth="1"/>
    <col min="8459"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17.5" style="325" customWidth="1"/>
    <col min="8715"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17.5" style="325" customWidth="1"/>
    <col min="8971"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17.5" style="325" customWidth="1"/>
    <col min="9227"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17.5" style="325" customWidth="1"/>
    <col min="9483"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17.5" style="325" customWidth="1"/>
    <col min="9739"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17.5" style="325" customWidth="1"/>
    <col min="9995"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17.5" style="325" customWidth="1"/>
    <col min="10251"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17.5" style="325" customWidth="1"/>
    <col min="10507"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17.5" style="325" customWidth="1"/>
    <col min="10763"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17.5" style="325" customWidth="1"/>
    <col min="11019"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17.5" style="325" customWidth="1"/>
    <col min="11275"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17.5" style="325" customWidth="1"/>
    <col min="11531"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17.5" style="325" customWidth="1"/>
    <col min="11787"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17.5" style="325" customWidth="1"/>
    <col min="12043"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17.5" style="325" customWidth="1"/>
    <col min="12299"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17.5" style="325" customWidth="1"/>
    <col min="12555"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17.5" style="325" customWidth="1"/>
    <col min="12811"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17.5" style="325" customWidth="1"/>
    <col min="13067"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17.5" style="325" customWidth="1"/>
    <col min="13323"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17.5" style="325" customWidth="1"/>
    <col min="13579"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17.5" style="325" customWidth="1"/>
    <col min="13835"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17.5" style="325" customWidth="1"/>
    <col min="14091"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17.5" style="325" customWidth="1"/>
    <col min="14347"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17.5" style="325" customWidth="1"/>
    <col min="14603"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17.5" style="325" customWidth="1"/>
    <col min="14859"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17.5" style="325" customWidth="1"/>
    <col min="15115"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17.5" style="325" customWidth="1"/>
    <col min="15371"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17.5" style="325" customWidth="1"/>
    <col min="15627"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17.5" style="325" customWidth="1"/>
    <col min="15883"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17.5" style="325" customWidth="1"/>
    <col min="16139" max="16384" width="9" style="325"/>
  </cols>
  <sheetData>
    <row r="1" spans="1:10" s="298" customFormat="1" x14ac:dyDescent="0.5">
      <c r="A1" s="496" t="s">
        <v>1913</v>
      </c>
      <c r="B1" s="496"/>
      <c r="C1" s="496"/>
      <c r="D1" s="496"/>
      <c r="E1" s="496"/>
      <c r="F1" s="496"/>
      <c r="G1" s="496"/>
      <c r="H1" s="496"/>
      <c r="I1" s="496"/>
    </row>
    <row r="2" spans="1:10" s="298" customFormat="1" x14ac:dyDescent="0.5">
      <c r="A2" s="496" t="s">
        <v>2125</v>
      </c>
      <c r="B2" s="496"/>
      <c r="C2" s="496"/>
      <c r="D2" s="496"/>
      <c r="E2" s="496"/>
      <c r="F2" s="496"/>
      <c r="G2" s="496"/>
      <c r="H2" s="496"/>
      <c r="I2" s="496"/>
    </row>
    <row r="3" spans="1:10" s="298" customFormat="1" x14ac:dyDescent="0.5">
      <c r="A3" s="496" t="s">
        <v>2817</v>
      </c>
      <c r="B3" s="496"/>
      <c r="C3" s="496"/>
      <c r="D3" s="496"/>
      <c r="E3" s="496"/>
      <c r="F3" s="496"/>
      <c r="G3" s="496"/>
      <c r="H3" s="496"/>
      <c r="I3" s="496"/>
    </row>
    <row r="4" spans="1:10" s="301" customFormat="1" ht="14.25" customHeight="1" x14ac:dyDescent="0.45">
      <c r="A4" s="299"/>
      <c r="B4" s="299"/>
      <c r="C4" s="300"/>
    </row>
    <row r="5" spans="1:10" s="303" customFormat="1" ht="42" customHeight="1" x14ac:dyDescent="0.45">
      <c r="A5" s="497" t="s">
        <v>253</v>
      </c>
      <c r="B5" s="497" t="s">
        <v>1915</v>
      </c>
      <c r="C5" s="498" t="s">
        <v>263</v>
      </c>
      <c r="D5" s="499" t="s">
        <v>2148</v>
      </c>
      <c r="E5" s="499"/>
      <c r="F5" s="499"/>
      <c r="G5" s="499"/>
      <c r="H5" s="499"/>
      <c r="I5" s="500" t="s">
        <v>256</v>
      </c>
      <c r="J5" s="302"/>
    </row>
    <row r="6" spans="1:10" s="304" customFormat="1" ht="65.25" customHeight="1" x14ac:dyDescent="0.2">
      <c r="A6" s="497"/>
      <c r="B6" s="497"/>
      <c r="C6" s="498"/>
      <c r="D6" s="503" t="s">
        <v>2239</v>
      </c>
      <c r="E6" s="504"/>
      <c r="F6" s="505" t="s">
        <v>265</v>
      </c>
      <c r="G6" s="506"/>
      <c r="H6" s="507"/>
      <c r="I6" s="501"/>
    </row>
    <row r="7" spans="1:10" s="303" customFormat="1" ht="36" customHeight="1" x14ac:dyDescent="0.45">
      <c r="A7" s="497"/>
      <c r="B7" s="497"/>
      <c r="C7" s="498"/>
      <c r="D7" s="305" t="s">
        <v>1916</v>
      </c>
      <c r="E7" s="305" t="s">
        <v>1917</v>
      </c>
      <c r="F7" s="306" t="s">
        <v>1916</v>
      </c>
      <c r="G7" s="306" t="s">
        <v>1917</v>
      </c>
      <c r="H7" s="306" t="s">
        <v>1918</v>
      </c>
      <c r="I7" s="502"/>
      <c r="J7" s="302"/>
    </row>
    <row r="8" spans="1:10" s="310" customFormat="1" ht="20.25" customHeight="1" x14ac:dyDescent="0.2">
      <c r="A8" s="307">
        <v>1</v>
      </c>
      <c r="B8" s="308" t="s">
        <v>739</v>
      </c>
      <c r="C8" s="309">
        <v>2977530</v>
      </c>
      <c r="D8" s="309">
        <v>450</v>
      </c>
      <c r="E8" s="309">
        <v>450</v>
      </c>
      <c r="F8" s="309">
        <v>0</v>
      </c>
      <c r="G8" s="309">
        <v>85000</v>
      </c>
      <c r="H8" s="309"/>
      <c r="I8" s="309">
        <v>2891630</v>
      </c>
    </row>
    <row r="9" spans="1:10" s="313" customFormat="1" ht="20.25" customHeight="1" x14ac:dyDescent="0.2">
      <c r="A9" s="307">
        <v>2</v>
      </c>
      <c r="B9" s="308" t="s">
        <v>360</v>
      </c>
      <c r="C9" s="312">
        <v>1854502</v>
      </c>
      <c r="D9" s="312">
        <v>44376</v>
      </c>
      <c r="E9" s="312">
        <v>44376</v>
      </c>
      <c r="F9" s="312">
        <v>63654.5</v>
      </c>
      <c r="G9" s="312">
        <v>63654.5</v>
      </c>
      <c r="H9" s="312"/>
      <c r="I9" s="309">
        <v>1638441</v>
      </c>
    </row>
    <row r="10" spans="1:10" s="426" customFormat="1" ht="20.25" customHeight="1" x14ac:dyDescent="0.2">
      <c r="A10" s="307">
        <v>3</v>
      </c>
      <c r="B10" s="423" t="s">
        <v>2126</v>
      </c>
      <c r="C10" s="424">
        <v>427500</v>
      </c>
      <c r="D10" s="424">
        <v>0</v>
      </c>
      <c r="E10" s="424">
        <v>0</v>
      </c>
      <c r="F10" s="424">
        <v>21375</v>
      </c>
      <c r="G10" s="424">
        <v>21375</v>
      </c>
      <c r="H10" s="424"/>
      <c r="I10" s="425">
        <v>384750</v>
      </c>
    </row>
    <row r="11" spans="1:10" s="426" customFormat="1" ht="20.25" customHeight="1" x14ac:dyDescent="0.2">
      <c r="A11" s="307">
        <v>4</v>
      </c>
      <c r="B11" s="423" t="s">
        <v>161</v>
      </c>
      <c r="C11" s="424">
        <v>6477213</v>
      </c>
      <c r="D11" s="424">
        <v>171800</v>
      </c>
      <c r="E11" s="424">
        <v>171800</v>
      </c>
      <c r="F11" s="424">
        <v>111406</v>
      </c>
      <c r="G11" s="424">
        <v>196406</v>
      </c>
      <c r="H11" s="424"/>
      <c r="I11" s="425">
        <v>5825801</v>
      </c>
    </row>
    <row r="12" spans="1:10" s="429" customFormat="1" ht="20.25" customHeight="1" x14ac:dyDescent="0.2">
      <c r="A12" s="307">
        <v>5</v>
      </c>
      <c r="B12" s="427" t="s">
        <v>156</v>
      </c>
      <c r="C12" s="428">
        <v>3238190</v>
      </c>
      <c r="D12" s="428">
        <v>0</v>
      </c>
      <c r="E12" s="428">
        <v>0</v>
      </c>
      <c r="F12" s="428">
        <v>123050</v>
      </c>
      <c r="G12" s="428">
        <v>123050</v>
      </c>
      <c r="H12" s="428"/>
      <c r="I12" s="425">
        <v>2992090</v>
      </c>
    </row>
    <row r="13" spans="1:10" s="313" customFormat="1" ht="20.25" customHeight="1" x14ac:dyDescent="0.2">
      <c r="A13" s="307">
        <v>6</v>
      </c>
      <c r="B13" s="308" t="s">
        <v>2434</v>
      </c>
      <c r="C13" s="312">
        <v>10008958.6</v>
      </c>
      <c r="D13" s="312">
        <v>205554.598</v>
      </c>
      <c r="E13" s="312">
        <v>205554.598</v>
      </c>
      <c r="F13" s="312">
        <v>138861</v>
      </c>
      <c r="G13" s="312">
        <v>266361</v>
      </c>
      <c r="H13" s="312"/>
      <c r="I13" s="309">
        <v>9192627.4039999992</v>
      </c>
    </row>
    <row r="14" spans="1:10" s="313" customFormat="1" ht="20.25" customHeight="1" x14ac:dyDescent="0.2">
      <c r="A14" s="307">
        <v>7</v>
      </c>
      <c r="B14" s="308" t="s">
        <v>1229</v>
      </c>
      <c r="C14" s="312">
        <v>535763</v>
      </c>
      <c r="D14" s="312">
        <v>88000</v>
      </c>
      <c r="E14" s="312">
        <v>88000</v>
      </c>
      <c r="F14" s="312">
        <v>8407.5</v>
      </c>
      <c r="G14" s="312">
        <v>8407.5</v>
      </c>
      <c r="H14" s="312"/>
      <c r="I14" s="309">
        <v>342948</v>
      </c>
    </row>
    <row r="15" spans="1:10" s="313" customFormat="1" ht="20.25" customHeight="1" x14ac:dyDescent="0.2">
      <c r="A15" s="307">
        <v>8</v>
      </c>
      <c r="B15" s="308" t="s">
        <v>19</v>
      </c>
      <c r="C15" s="312">
        <v>3157400</v>
      </c>
      <c r="D15" s="312">
        <v>13500</v>
      </c>
      <c r="E15" s="312">
        <v>13500</v>
      </c>
      <c r="F15" s="312">
        <v>49950</v>
      </c>
      <c r="G15" s="312">
        <v>49950</v>
      </c>
      <c r="H15" s="312"/>
      <c r="I15" s="309">
        <v>3030500</v>
      </c>
    </row>
    <row r="16" spans="1:10" s="313" customFormat="1" ht="20.25" customHeight="1" x14ac:dyDescent="0.2">
      <c r="A16" s="307">
        <v>9</v>
      </c>
      <c r="B16" s="308" t="s">
        <v>117</v>
      </c>
      <c r="C16" s="312">
        <v>4633050</v>
      </c>
      <c r="D16" s="312">
        <v>207750</v>
      </c>
      <c r="E16" s="312">
        <v>207750</v>
      </c>
      <c r="F16" s="312">
        <v>9500</v>
      </c>
      <c r="G16" s="312">
        <v>9500</v>
      </c>
      <c r="H16" s="312"/>
      <c r="I16" s="309">
        <v>4198550</v>
      </c>
    </row>
    <row r="17" spans="1:9" s="313" customFormat="1" ht="20.25" customHeight="1" x14ac:dyDescent="0.2">
      <c r="A17" s="307">
        <v>10</v>
      </c>
      <c r="B17" s="308" t="s">
        <v>2818</v>
      </c>
      <c r="C17" s="312">
        <v>1269250</v>
      </c>
      <c r="D17" s="312">
        <v>0</v>
      </c>
      <c r="E17" s="312">
        <v>0</v>
      </c>
      <c r="F17" s="312">
        <v>0</v>
      </c>
      <c r="G17" s="312">
        <v>0</v>
      </c>
      <c r="H17" s="312"/>
      <c r="I17" s="309">
        <v>1269250</v>
      </c>
    </row>
    <row r="18" spans="1:9" s="313" customFormat="1" ht="20.25" customHeight="1" x14ac:dyDescent="0.2">
      <c r="A18" s="307">
        <v>11</v>
      </c>
      <c r="B18" s="308" t="s">
        <v>706</v>
      </c>
      <c r="C18" s="312">
        <v>1747532</v>
      </c>
      <c r="D18" s="312">
        <v>0</v>
      </c>
      <c r="E18" s="312">
        <v>0</v>
      </c>
      <c r="F18" s="312">
        <v>6750</v>
      </c>
      <c r="G18" s="312">
        <v>6750</v>
      </c>
      <c r="H18" s="312"/>
      <c r="I18" s="309">
        <v>1734032</v>
      </c>
    </row>
    <row r="19" spans="1:9" s="313" customFormat="1" ht="20.25" customHeight="1" x14ac:dyDescent="0.2">
      <c r="A19" s="307">
        <v>12</v>
      </c>
      <c r="B19" s="308" t="s">
        <v>923</v>
      </c>
      <c r="C19" s="312">
        <v>309000</v>
      </c>
      <c r="D19" s="312">
        <v>0</v>
      </c>
      <c r="E19" s="312">
        <v>0</v>
      </c>
      <c r="F19" s="312">
        <v>0</v>
      </c>
      <c r="G19" s="312">
        <v>0</v>
      </c>
      <c r="H19" s="312"/>
      <c r="I19" s="309">
        <v>309000</v>
      </c>
    </row>
    <row r="20" spans="1:9" s="317" customFormat="1" ht="20.25" customHeight="1" x14ac:dyDescent="0.2">
      <c r="A20" s="307">
        <v>13</v>
      </c>
      <c r="B20" s="308" t="s">
        <v>2554</v>
      </c>
      <c r="C20" s="312">
        <v>8243330</v>
      </c>
      <c r="D20" s="312">
        <v>0</v>
      </c>
      <c r="E20" s="312">
        <v>0</v>
      </c>
      <c r="F20" s="312">
        <v>425000</v>
      </c>
      <c r="G20" s="312">
        <v>127500</v>
      </c>
      <c r="H20" s="312"/>
      <c r="I20" s="309">
        <v>7690830</v>
      </c>
    </row>
    <row r="21" spans="1:9" s="313" customFormat="1" ht="20.25" customHeight="1" x14ac:dyDescent="0.2">
      <c r="A21" s="307">
        <v>14</v>
      </c>
      <c r="B21" s="308" t="s">
        <v>2149</v>
      </c>
      <c r="C21" s="312">
        <v>684000</v>
      </c>
      <c r="D21" s="312">
        <v>34200</v>
      </c>
      <c r="E21" s="312">
        <v>34200</v>
      </c>
      <c r="F21" s="312">
        <v>0</v>
      </c>
      <c r="G21" s="312">
        <v>0</v>
      </c>
      <c r="H21" s="312"/>
      <c r="I21" s="309">
        <v>615600</v>
      </c>
    </row>
    <row r="22" spans="1:9" s="317" customFormat="1" ht="20.25" customHeight="1" x14ac:dyDescent="0.2">
      <c r="A22" s="307">
        <v>15</v>
      </c>
      <c r="B22" s="315" t="s">
        <v>2467</v>
      </c>
      <c r="C22" s="316">
        <v>1185800</v>
      </c>
      <c r="D22" s="316">
        <v>0</v>
      </c>
      <c r="E22" s="316">
        <v>0</v>
      </c>
      <c r="F22" s="316">
        <v>0</v>
      </c>
      <c r="G22" s="316">
        <v>0</v>
      </c>
      <c r="H22" s="316"/>
      <c r="I22" s="309">
        <v>1185800</v>
      </c>
    </row>
    <row r="23" spans="1:9" s="322" customFormat="1" ht="22.5" customHeight="1" x14ac:dyDescent="0.45">
      <c r="A23" s="307">
        <v>16</v>
      </c>
      <c r="B23" s="420" t="s">
        <v>2555</v>
      </c>
      <c r="C23" s="421">
        <v>4407293.5</v>
      </c>
      <c r="D23" s="421">
        <v>0</v>
      </c>
      <c r="E23" s="421">
        <v>0</v>
      </c>
      <c r="F23" s="421">
        <v>0</v>
      </c>
      <c r="G23" s="421">
        <v>0</v>
      </c>
      <c r="H23" s="421"/>
      <c r="I23" s="422">
        <v>4407293.5</v>
      </c>
    </row>
    <row r="24" spans="1:9" ht="24" thickBot="1" x14ac:dyDescent="0.55000000000000004">
      <c r="A24" s="494" t="s">
        <v>1919</v>
      </c>
      <c r="B24" s="495"/>
      <c r="C24" s="318">
        <f>SUM(C8:C23)</f>
        <v>51156312.100000001</v>
      </c>
      <c r="D24" s="319">
        <f>SUM(D8:D23)</f>
        <v>765630.598</v>
      </c>
      <c r="E24" s="319">
        <f>SUM(E8:E23)</f>
        <v>765630.598</v>
      </c>
      <c r="F24" s="320">
        <f>SUM(F8:F23)</f>
        <v>957954</v>
      </c>
      <c r="G24" s="320">
        <f>SUM(G8:G23)</f>
        <v>957954</v>
      </c>
      <c r="H24" s="320"/>
      <c r="I24" s="321">
        <f>SUM(I8:I23)</f>
        <v>47709142.903999999</v>
      </c>
    </row>
    <row r="25" spans="1:9" s="313" customFormat="1" ht="20.25" customHeight="1" thickTop="1" x14ac:dyDescent="0.5">
      <c r="A25" s="323"/>
      <c r="B25" s="323"/>
      <c r="C25" s="324"/>
      <c r="D25" s="325"/>
      <c r="E25" s="325"/>
      <c r="F25" s="325"/>
      <c r="G25" s="325"/>
      <c r="H25" s="325"/>
      <c r="I25" s="325"/>
    </row>
    <row r="26" spans="1:9" x14ac:dyDescent="0.5">
      <c r="C26" s="333"/>
      <c r="D26" s="333"/>
      <c r="E26" s="333"/>
      <c r="F26" s="333"/>
      <c r="G26" s="333"/>
      <c r="H26" s="333"/>
      <c r="I26" s="333"/>
    </row>
    <row r="27" spans="1:9" x14ac:dyDescent="0.5">
      <c r="C27" s="373"/>
      <c r="D27" s="373"/>
      <c r="E27" s="373"/>
      <c r="F27" s="373"/>
      <c r="G27" s="373"/>
      <c r="H27" s="373"/>
      <c r="I27" s="373"/>
    </row>
    <row r="30" spans="1:9" x14ac:dyDescent="0.5">
      <c r="D30" s="324"/>
      <c r="E30" s="324"/>
      <c r="F30" s="324"/>
      <c r="G30" s="324"/>
      <c r="H30" s="324"/>
      <c r="I30" s="324"/>
    </row>
  </sheetData>
  <mergeCells count="11">
    <mergeCell ref="A24:B24"/>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7"/>
  <sheetViews>
    <sheetView workbookViewId="0">
      <pane xSplit="9" ySplit="7" topLeftCell="J8" activePane="bottomRight" state="frozen"/>
      <selection pane="topRight" activeCell="J1" sqref="J1"/>
      <selection pane="bottomLeft" activeCell="A8" sqref="A8"/>
      <selection pane="bottomRight" activeCell="A8" sqref="A8"/>
    </sheetView>
  </sheetViews>
  <sheetFormatPr defaultRowHeight="18.75" x14ac:dyDescent="0.4"/>
  <cols>
    <col min="1" max="1" width="4.625" style="366" customWidth="1"/>
    <col min="2" max="2" width="9.125" style="367" customWidth="1"/>
    <col min="3" max="3" width="12.125" style="366" customWidth="1"/>
    <col min="4" max="4" width="17.375" style="366" customWidth="1"/>
    <col min="5" max="5" width="22.625" style="331" customWidth="1"/>
    <col min="6" max="7" width="17.125" style="332" customWidth="1"/>
    <col min="8" max="8" width="28.125" style="332" customWidth="1"/>
    <col min="9" max="9" width="12.625" style="369" customWidth="1"/>
    <col min="10" max="13" width="11.625" style="328" customWidth="1"/>
    <col min="14" max="14" width="9.625" style="430" customWidth="1"/>
    <col min="15" max="15" width="11.625" style="328" customWidth="1"/>
    <col min="16" max="256" width="9" style="328"/>
    <col min="257" max="257" width="4.625" style="328" customWidth="1"/>
    <col min="258" max="258" width="9.125" style="328" customWidth="1"/>
    <col min="259" max="259" width="12.125" style="328" customWidth="1"/>
    <col min="260" max="260" width="17.37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2.125" style="328" customWidth="1"/>
    <col min="516" max="516" width="17.37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2.125" style="328" customWidth="1"/>
    <col min="772" max="772" width="17.37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2.125" style="328" customWidth="1"/>
    <col min="1028" max="1028" width="17.37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2.125" style="328" customWidth="1"/>
    <col min="1284" max="1284" width="17.37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2.125" style="328" customWidth="1"/>
    <col min="1540" max="1540" width="17.37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2.125" style="328" customWidth="1"/>
    <col min="1796" max="1796" width="17.37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2.125" style="328" customWidth="1"/>
    <col min="2052" max="2052" width="17.37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2.125" style="328" customWidth="1"/>
    <col min="2308" max="2308" width="17.37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2.125" style="328" customWidth="1"/>
    <col min="2564" max="2564" width="17.37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2.125" style="328" customWidth="1"/>
    <col min="2820" max="2820" width="17.37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2.125" style="328" customWidth="1"/>
    <col min="3076" max="3076" width="17.37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2.125" style="328" customWidth="1"/>
    <col min="3332" max="3332" width="17.37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2.125" style="328" customWidth="1"/>
    <col min="3588" max="3588" width="17.37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2.125" style="328" customWidth="1"/>
    <col min="3844" max="3844" width="17.37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2.125" style="328" customWidth="1"/>
    <col min="4100" max="4100" width="17.37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2.125" style="328" customWidth="1"/>
    <col min="4356" max="4356" width="17.37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2.125" style="328" customWidth="1"/>
    <col min="4612" max="4612" width="17.37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2.125" style="328" customWidth="1"/>
    <col min="4868" max="4868" width="17.37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2.125" style="328" customWidth="1"/>
    <col min="5124" max="5124" width="17.37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2.125" style="328" customWidth="1"/>
    <col min="5380" max="5380" width="17.37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2.125" style="328" customWidth="1"/>
    <col min="5636" max="5636" width="17.37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2.125" style="328" customWidth="1"/>
    <col min="5892" max="5892" width="17.37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2.125" style="328" customWidth="1"/>
    <col min="6148" max="6148" width="17.37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2.125" style="328" customWidth="1"/>
    <col min="6404" max="6404" width="17.37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2.125" style="328" customWidth="1"/>
    <col min="6660" max="6660" width="17.37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2.125" style="328" customWidth="1"/>
    <col min="6916" max="6916" width="17.37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2.125" style="328" customWidth="1"/>
    <col min="7172" max="7172" width="17.37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2.125" style="328" customWidth="1"/>
    <col min="7428" max="7428" width="17.37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2.125" style="328" customWidth="1"/>
    <col min="7684" max="7684" width="17.37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2.125" style="328" customWidth="1"/>
    <col min="7940" max="7940" width="17.37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2.125" style="328" customWidth="1"/>
    <col min="8196" max="8196" width="17.37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2.125" style="328" customWidth="1"/>
    <col min="8452" max="8452" width="17.37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2.125" style="328" customWidth="1"/>
    <col min="8708" max="8708" width="17.37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2.125" style="328" customWidth="1"/>
    <col min="8964" max="8964" width="17.37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2.125" style="328" customWidth="1"/>
    <col min="9220" max="9220" width="17.37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2.125" style="328" customWidth="1"/>
    <col min="9476" max="9476" width="17.37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2.125" style="328" customWidth="1"/>
    <col min="9732" max="9732" width="17.37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2.125" style="328" customWidth="1"/>
    <col min="9988" max="9988" width="17.37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2.125" style="328" customWidth="1"/>
    <col min="10244" max="10244" width="17.37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2.125" style="328" customWidth="1"/>
    <col min="10500" max="10500" width="17.37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2.125" style="328" customWidth="1"/>
    <col min="10756" max="10756" width="17.37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2.125" style="328" customWidth="1"/>
    <col min="11012" max="11012" width="17.37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2.125" style="328" customWidth="1"/>
    <col min="11268" max="11268" width="17.37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2.125" style="328" customWidth="1"/>
    <col min="11524" max="11524" width="17.37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2.125" style="328" customWidth="1"/>
    <col min="11780" max="11780" width="17.37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2.125" style="328" customWidth="1"/>
    <col min="12036" max="12036" width="17.37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2.125" style="328" customWidth="1"/>
    <col min="12292" max="12292" width="17.37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2.125" style="328" customWidth="1"/>
    <col min="12548" max="12548" width="17.37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2.125" style="328" customWidth="1"/>
    <col min="12804" max="12804" width="17.37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2.125" style="328" customWidth="1"/>
    <col min="13060" max="13060" width="17.37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2.125" style="328" customWidth="1"/>
    <col min="13316" max="13316" width="17.37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2.125" style="328" customWidth="1"/>
    <col min="13572" max="13572" width="17.37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2.125" style="328" customWidth="1"/>
    <col min="13828" max="13828" width="17.37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2.125" style="328" customWidth="1"/>
    <col min="14084" max="14084" width="17.37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2.125" style="328" customWidth="1"/>
    <col min="14340" max="14340" width="17.37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2.125" style="328" customWidth="1"/>
    <col min="14596" max="14596" width="17.37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2.125" style="328" customWidth="1"/>
    <col min="14852" max="14852" width="17.37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2.125" style="328" customWidth="1"/>
    <col min="15108" max="15108" width="17.37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2.125" style="328" customWidth="1"/>
    <col min="15364" max="15364" width="17.37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2.125" style="328" customWidth="1"/>
    <col min="15620" max="15620" width="17.37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2.125" style="328" customWidth="1"/>
    <col min="15876" max="15876" width="17.37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2.125" style="328" customWidth="1"/>
    <col min="16132" max="16132" width="17.37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512" t="s">
        <v>1913</v>
      </c>
      <c r="B1" s="512"/>
      <c r="C1" s="512"/>
      <c r="D1" s="512"/>
      <c r="E1" s="512"/>
      <c r="F1" s="512"/>
      <c r="G1" s="512"/>
      <c r="H1" s="512"/>
      <c r="I1" s="512"/>
      <c r="J1" s="512"/>
      <c r="K1" s="512"/>
      <c r="L1" s="512"/>
      <c r="M1" s="512"/>
      <c r="N1" s="512"/>
      <c r="O1" s="512"/>
    </row>
    <row r="2" spans="1:16" ht="21" x14ac:dyDescent="0.45">
      <c r="A2" s="512" t="s">
        <v>1920</v>
      </c>
      <c r="B2" s="512"/>
      <c r="C2" s="512"/>
      <c r="D2" s="512"/>
      <c r="E2" s="512"/>
      <c r="F2" s="512"/>
      <c r="G2" s="512"/>
      <c r="H2" s="512"/>
      <c r="I2" s="512"/>
      <c r="J2" s="512"/>
      <c r="K2" s="512"/>
      <c r="L2" s="512"/>
      <c r="M2" s="512"/>
      <c r="N2" s="512"/>
      <c r="O2" s="512"/>
    </row>
    <row r="3" spans="1:16" ht="21" x14ac:dyDescent="0.45">
      <c r="A3" s="512" t="s">
        <v>2817</v>
      </c>
      <c r="B3" s="512"/>
      <c r="C3" s="512"/>
      <c r="D3" s="512"/>
      <c r="E3" s="512"/>
      <c r="F3" s="512"/>
      <c r="G3" s="512"/>
      <c r="H3" s="512"/>
      <c r="I3" s="512"/>
      <c r="J3" s="512"/>
      <c r="K3" s="512"/>
      <c r="L3" s="512"/>
      <c r="M3" s="512"/>
      <c r="N3" s="512"/>
      <c r="O3" s="512"/>
    </row>
    <row r="4" spans="1:16" s="332" customFormat="1" ht="8.1" customHeight="1" x14ac:dyDescent="0.4">
      <c r="A4" s="329"/>
      <c r="B4" s="330"/>
      <c r="C4" s="366"/>
      <c r="D4" s="366"/>
      <c r="E4" s="331"/>
      <c r="I4" s="333"/>
      <c r="N4" s="430"/>
    </row>
    <row r="5" spans="1:16" s="335" customFormat="1" ht="42" customHeight="1" x14ac:dyDescent="0.4">
      <c r="A5" s="513" t="s">
        <v>253</v>
      </c>
      <c r="B5" s="513" t="s">
        <v>254</v>
      </c>
      <c r="C5" s="513"/>
      <c r="D5" s="513"/>
      <c r="E5" s="513"/>
      <c r="F5" s="513"/>
      <c r="G5" s="513"/>
      <c r="H5" s="513"/>
      <c r="I5" s="513"/>
      <c r="J5" s="515" t="s">
        <v>2148</v>
      </c>
      <c r="K5" s="515"/>
      <c r="L5" s="515"/>
      <c r="M5" s="515"/>
      <c r="N5" s="515"/>
      <c r="O5" s="516" t="s">
        <v>256</v>
      </c>
    </row>
    <row r="6" spans="1:16" s="336" customFormat="1" ht="57.75" customHeight="1" x14ac:dyDescent="0.2">
      <c r="A6" s="513"/>
      <c r="B6" s="518" t="s">
        <v>257</v>
      </c>
      <c r="C6" s="520" t="s">
        <v>2</v>
      </c>
      <c r="D6" s="520" t="s">
        <v>258</v>
      </c>
      <c r="E6" s="513" t="s">
        <v>259</v>
      </c>
      <c r="F6" s="513" t="s">
        <v>260</v>
      </c>
      <c r="G6" s="513" t="s">
        <v>261</v>
      </c>
      <c r="H6" s="513" t="s">
        <v>262</v>
      </c>
      <c r="I6" s="508" t="s">
        <v>263</v>
      </c>
      <c r="J6" s="510" t="s">
        <v>2239</v>
      </c>
      <c r="K6" s="511"/>
      <c r="L6" s="522" t="s">
        <v>265</v>
      </c>
      <c r="M6" s="522"/>
      <c r="N6" s="522"/>
      <c r="O6" s="516"/>
    </row>
    <row r="7" spans="1:16" s="335" customFormat="1" ht="60" customHeight="1" x14ac:dyDescent="0.4">
      <c r="A7" s="514"/>
      <c r="B7" s="519"/>
      <c r="C7" s="521"/>
      <c r="D7" s="521"/>
      <c r="E7" s="514"/>
      <c r="F7" s="514"/>
      <c r="G7" s="514"/>
      <c r="H7" s="514"/>
      <c r="I7" s="509"/>
      <c r="J7" s="403" t="s">
        <v>266</v>
      </c>
      <c r="K7" s="403" t="s">
        <v>267</v>
      </c>
      <c r="L7" s="404" t="s">
        <v>266</v>
      </c>
      <c r="M7" s="404" t="s">
        <v>267</v>
      </c>
      <c r="N7" s="431" t="s">
        <v>2606</v>
      </c>
      <c r="O7" s="517"/>
    </row>
    <row r="8" spans="1:16" x14ac:dyDescent="0.4">
      <c r="A8" s="388" t="s">
        <v>739</v>
      </c>
      <c r="B8" s="389"/>
      <c r="C8" s="637"/>
      <c r="D8" s="637"/>
      <c r="E8" s="388"/>
      <c r="F8" s="388"/>
      <c r="G8" s="388"/>
      <c r="H8" s="638"/>
      <c r="I8" s="393">
        <f>SUM(I9:I15)</f>
        <v>2977530</v>
      </c>
      <c r="J8" s="393">
        <f t="shared" ref="J8:O8" si="0">SUM(J9:J15)</f>
        <v>450</v>
      </c>
      <c r="K8" s="393">
        <f t="shared" si="0"/>
        <v>450</v>
      </c>
      <c r="L8" s="393">
        <f t="shared" si="0"/>
        <v>0</v>
      </c>
      <c r="M8" s="393">
        <f t="shared" si="0"/>
        <v>85000</v>
      </c>
      <c r="N8" s="393"/>
      <c r="O8" s="393">
        <f t="shared" si="0"/>
        <v>2891630</v>
      </c>
      <c r="P8" s="441"/>
    </row>
    <row r="9" spans="1:16" ht="112.5" x14ac:dyDescent="0.4">
      <c r="A9" s="439">
        <v>1</v>
      </c>
      <c r="B9" s="438" t="s">
        <v>2435</v>
      </c>
      <c r="C9" s="440" t="s">
        <v>2436</v>
      </c>
      <c r="D9" s="639" t="s">
        <v>2437</v>
      </c>
      <c r="E9" s="640" t="s">
        <v>1173</v>
      </c>
      <c r="F9" s="435" t="s">
        <v>739</v>
      </c>
      <c r="G9" s="435" t="s">
        <v>1162</v>
      </c>
      <c r="H9" s="436" t="s">
        <v>2700</v>
      </c>
      <c r="I9" s="641">
        <v>20000</v>
      </c>
      <c r="J9" s="641">
        <v>0</v>
      </c>
      <c r="K9" s="641">
        <v>0</v>
      </c>
      <c r="L9" s="641">
        <v>0</v>
      </c>
      <c r="M9" s="641">
        <v>0</v>
      </c>
      <c r="N9" s="642" t="s">
        <v>1631</v>
      </c>
      <c r="O9" s="641">
        <f>+I9-(SUM(J9:N9))</f>
        <v>20000</v>
      </c>
      <c r="P9" s="441"/>
    </row>
    <row r="10" spans="1:16" s="441" customFormat="1" ht="131.25" x14ac:dyDescent="0.2">
      <c r="A10" s="439">
        <v>2</v>
      </c>
      <c r="B10" s="438" t="s">
        <v>2528</v>
      </c>
      <c r="C10" s="440" t="s">
        <v>2529</v>
      </c>
      <c r="D10" s="639" t="s">
        <v>2530</v>
      </c>
      <c r="E10" s="640" t="s">
        <v>1185</v>
      </c>
      <c r="F10" s="435" t="s">
        <v>739</v>
      </c>
      <c r="G10" s="435" t="s">
        <v>2154</v>
      </c>
      <c r="H10" s="436" t="s">
        <v>2701</v>
      </c>
      <c r="I10" s="641">
        <v>785900</v>
      </c>
      <c r="J10" s="641">
        <v>0</v>
      </c>
      <c r="K10" s="641">
        <v>0</v>
      </c>
      <c r="L10" s="641">
        <v>0</v>
      </c>
      <c r="M10" s="641">
        <v>0</v>
      </c>
      <c r="N10" s="642" t="s">
        <v>2325</v>
      </c>
      <c r="O10" s="641">
        <f>+I10-(SUM(J10:N10))</f>
        <v>785900</v>
      </c>
    </row>
    <row r="11" spans="1:16" s="643" customFormat="1" ht="131.25" x14ac:dyDescent="0.2">
      <c r="A11" s="439">
        <v>3</v>
      </c>
      <c r="B11" s="438" t="s">
        <v>2528</v>
      </c>
      <c r="C11" s="440" t="s">
        <v>2529</v>
      </c>
      <c r="D11" s="639" t="s">
        <v>2530</v>
      </c>
      <c r="E11" s="640" t="s">
        <v>2155</v>
      </c>
      <c r="F11" s="435" t="s">
        <v>739</v>
      </c>
      <c r="G11" s="435" t="s">
        <v>2154</v>
      </c>
      <c r="H11" s="436" t="s">
        <v>2702</v>
      </c>
      <c r="I11" s="641">
        <v>312980</v>
      </c>
      <c r="J11" s="641">
        <v>0</v>
      </c>
      <c r="K11" s="641">
        <v>0</v>
      </c>
      <c r="L11" s="641">
        <v>0</v>
      </c>
      <c r="M11" s="641">
        <v>0</v>
      </c>
      <c r="N11" s="642" t="s">
        <v>2325</v>
      </c>
      <c r="O11" s="641">
        <f>+I11-(SUM(J11:N11))</f>
        <v>312980</v>
      </c>
      <c r="P11" s="441"/>
    </row>
    <row r="12" spans="1:16" ht="168.75" x14ac:dyDescent="0.4">
      <c r="A12" s="439">
        <v>4</v>
      </c>
      <c r="B12" s="438" t="s">
        <v>2703</v>
      </c>
      <c r="C12" s="440" t="s">
        <v>2704</v>
      </c>
      <c r="D12" s="639" t="s">
        <v>2705</v>
      </c>
      <c r="E12" s="640" t="s">
        <v>2155</v>
      </c>
      <c r="F12" s="435" t="s">
        <v>739</v>
      </c>
      <c r="G12" s="435" t="s">
        <v>2706</v>
      </c>
      <c r="H12" s="436" t="s">
        <v>2707</v>
      </c>
      <c r="I12" s="641">
        <v>9000</v>
      </c>
      <c r="J12" s="641">
        <v>450</v>
      </c>
      <c r="K12" s="641">
        <v>450</v>
      </c>
      <c r="L12" s="641">
        <v>0</v>
      </c>
      <c r="M12" s="641">
        <v>0</v>
      </c>
      <c r="N12" s="642"/>
      <c r="O12" s="641">
        <f>+I12-(SUM(J12:N12))</f>
        <v>8100</v>
      </c>
      <c r="P12" s="441"/>
    </row>
    <row r="13" spans="1:16" s="441" customFormat="1" ht="112.5" x14ac:dyDescent="0.2">
      <c r="A13" s="439">
        <v>5</v>
      </c>
      <c r="B13" s="438" t="s">
        <v>2703</v>
      </c>
      <c r="C13" s="440" t="s">
        <v>2708</v>
      </c>
      <c r="D13" s="639" t="s">
        <v>2709</v>
      </c>
      <c r="E13" s="640" t="s">
        <v>1185</v>
      </c>
      <c r="F13" s="435" t="s">
        <v>739</v>
      </c>
      <c r="G13" s="435" t="s">
        <v>1763</v>
      </c>
      <c r="H13" s="436" t="s">
        <v>2710</v>
      </c>
      <c r="I13" s="641">
        <v>85000</v>
      </c>
      <c r="J13" s="641">
        <v>0</v>
      </c>
      <c r="K13" s="641">
        <v>0</v>
      </c>
      <c r="L13" s="641">
        <v>0</v>
      </c>
      <c r="M13" s="641">
        <v>85000</v>
      </c>
      <c r="N13" s="642"/>
      <c r="O13" s="641">
        <f>+I13-(SUM(J13:N13))</f>
        <v>0</v>
      </c>
    </row>
    <row r="14" spans="1:16" s="441" customFormat="1" ht="131.25" x14ac:dyDescent="0.2">
      <c r="A14" s="439">
        <v>6</v>
      </c>
      <c r="B14" s="438" t="s">
        <v>2819</v>
      </c>
      <c r="C14" s="440" t="s">
        <v>2820</v>
      </c>
      <c r="D14" s="639" t="s">
        <v>2821</v>
      </c>
      <c r="E14" s="640" t="s">
        <v>1185</v>
      </c>
      <c r="F14" s="435" t="s">
        <v>739</v>
      </c>
      <c r="G14" s="435" t="s">
        <v>1763</v>
      </c>
      <c r="H14" s="436" t="s">
        <v>2822</v>
      </c>
      <c r="I14" s="641">
        <v>1023250</v>
      </c>
      <c r="J14" s="641">
        <v>0</v>
      </c>
      <c r="K14" s="641">
        <v>0</v>
      </c>
      <c r="L14" s="641">
        <v>0</v>
      </c>
      <c r="M14" s="641">
        <v>0</v>
      </c>
      <c r="N14" s="642" t="s">
        <v>1786</v>
      </c>
      <c r="O14" s="641">
        <f>+I14-(SUM(J14:N14))</f>
        <v>1023250</v>
      </c>
    </row>
    <row r="15" spans="1:16" s="441" customFormat="1" ht="131.25" x14ac:dyDescent="0.2">
      <c r="A15" s="439">
        <v>7</v>
      </c>
      <c r="B15" s="438" t="s">
        <v>2819</v>
      </c>
      <c r="C15" s="440" t="s">
        <v>2820</v>
      </c>
      <c r="D15" s="639" t="s">
        <v>2821</v>
      </c>
      <c r="E15" s="640" t="s">
        <v>2155</v>
      </c>
      <c r="F15" s="435" t="s">
        <v>739</v>
      </c>
      <c r="G15" s="435" t="s">
        <v>1763</v>
      </c>
      <c r="H15" s="436" t="s">
        <v>2823</v>
      </c>
      <c r="I15" s="641">
        <v>741400</v>
      </c>
      <c r="J15" s="641">
        <v>0</v>
      </c>
      <c r="K15" s="641">
        <v>0</v>
      </c>
      <c r="L15" s="641">
        <v>0</v>
      </c>
      <c r="M15" s="641">
        <v>0</v>
      </c>
      <c r="N15" s="642" t="s">
        <v>1786</v>
      </c>
      <c r="O15" s="641">
        <f>+I15-(SUM(J15:N15))</f>
        <v>741400</v>
      </c>
    </row>
    <row r="16" spans="1:16" s="441" customFormat="1" x14ac:dyDescent="0.2">
      <c r="A16" s="388" t="s">
        <v>360</v>
      </c>
      <c r="B16" s="389"/>
      <c r="C16" s="390"/>
      <c r="D16" s="637"/>
      <c r="E16" s="388"/>
      <c r="F16" s="391"/>
      <c r="G16" s="391"/>
      <c r="H16" s="392"/>
      <c r="I16" s="393">
        <f>SUM(I17:I25)</f>
        <v>1854502</v>
      </c>
      <c r="J16" s="393">
        <f t="shared" ref="J16:O16" si="1">SUM(J17:J25)</f>
        <v>44376</v>
      </c>
      <c r="K16" s="393">
        <f t="shared" si="1"/>
        <v>44376</v>
      </c>
      <c r="L16" s="393">
        <f t="shared" si="1"/>
        <v>63654.5</v>
      </c>
      <c r="M16" s="393">
        <f t="shared" si="1"/>
        <v>63654.5</v>
      </c>
      <c r="N16" s="393"/>
      <c r="O16" s="393">
        <f t="shared" si="1"/>
        <v>1638441</v>
      </c>
    </row>
    <row r="17" spans="1:15" s="441" customFormat="1" ht="150" x14ac:dyDescent="0.2">
      <c r="A17" s="439">
        <v>1</v>
      </c>
      <c r="B17" s="438" t="s">
        <v>2438</v>
      </c>
      <c r="C17" s="440" t="s">
        <v>2439</v>
      </c>
      <c r="D17" s="639" t="s">
        <v>2440</v>
      </c>
      <c r="E17" s="640" t="s">
        <v>2276</v>
      </c>
      <c r="F17" s="435" t="s">
        <v>360</v>
      </c>
      <c r="G17" s="435" t="s">
        <v>336</v>
      </c>
      <c r="H17" s="436" t="s">
        <v>2716</v>
      </c>
      <c r="I17" s="641">
        <v>490200</v>
      </c>
      <c r="J17" s="641">
        <v>0</v>
      </c>
      <c r="K17" s="641">
        <v>0</v>
      </c>
      <c r="L17" s="641">
        <v>39216</v>
      </c>
      <c r="M17" s="641">
        <v>39216</v>
      </c>
      <c r="N17" s="644"/>
      <c r="O17" s="641">
        <f>+I17-(SUM(J17:N17))</f>
        <v>411768</v>
      </c>
    </row>
    <row r="18" spans="1:15" s="441" customFormat="1" ht="262.5" x14ac:dyDescent="0.2">
      <c r="A18" s="439">
        <v>2</v>
      </c>
      <c r="B18" s="438" t="s">
        <v>2511</v>
      </c>
      <c r="C18" s="440" t="s">
        <v>2512</v>
      </c>
      <c r="D18" s="639" t="s">
        <v>2513</v>
      </c>
      <c r="E18" s="640" t="s">
        <v>2514</v>
      </c>
      <c r="F18" s="435" t="s">
        <v>360</v>
      </c>
      <c r="G18" s="435" t="s">
        <v>2310</v>
      </c>
      <c r="H18" s="436" t="s">
        <v>2717</v>
      </c>
      <c r="I18" s="641">
        <v>15877</v>
      </c>
      <c r="J18" s="641">
        <v>0</v>
      </c>
      <c r="K18" s="641">
        <v>0</v>
      </c>
      <c r="L18" s="641">
        <v>7938.5</v>
      </c>
      <c r="M18" s="641">
        <v>7938.5</v>
      </c>
      <c r="N18" s="644"/>
      <c r="O18" s="641">
        <f>+I18-(SUM(J18:N18))</f>
        <v>0</v>
      </c>
    </row>
    <row r="19" spans="1:15" s="441" customFormat="1" ht="131.25" x14ac:dyDescent="0.2">
      <c r="A19" s="439">
        <v>3</v>
      </c>
      <c r="B19" s="438" t="s">
        <v>2531</v>
      </c>
      <c r="C19" s="440" t="s">
        <v>2532</v>
      </c>
      <c r="D19" s="639" t="s">
        <v>2533</v>
      </c>
      <c r="E19" s="640" t="s">
        <v>2534</v>
      </c>
      <c r="F19" s="435" t="s">
        <v>360</v>
      </c>
      <c r="G19" s="435" t="s">
        <v>2535</v>
      </c>
      <c r="H19" s="436" t="s">
        <v>2718</v>
      </c>
      <c r="I19" s="641">
        <v>203490</v>
      </c>
      <c r="J19" s="641">
        <v>0</v>
      </c>
      <c r="K19" s="641">
        <v>0</v>
      </c>
      <c r="L19" s="641">
        <v>0</v>
      </c>
      <c r="M19" s="641">
        <v>0</v>
      </c>
      <c r="N19" s="642" t="s">
        <v>1786</v>
      </c>
      <c r="O19" s="641">
        <f>+I19-(SUM(J19:N19))</f>
        <v>203490</v>
      </c>
    </row>
    <row r="20" spans="1:15" s="441" customFormat="1" ht="150" x14ac:dyDescent="0.2">
      <c r="A20" s="439">
        <v>4</v>
      </c>
      <c r="B20" s="438" t="s">
        <v>2536</v>
      </c>
      <c r="C20" s="440" t="s">
        <v>2537</v>
      </c>
      <c r="D20" s="639" t="s">
        <v>2538</v>
      </c>
      <c r="E20" s="640" t="s">
        <v>2276</v>
      </c>
      <c r="F20" s="435" t="s">
        <v>360</v>
      </c>
      <c r="G20" s="435" t="s">
        <v>336</v>
      </c>
      <c r="H20" s="436" t="s">
        <v>2719</v>
      </c>
      <c r="I20" s="641">
        <v>367650</v>
      </c>
      <c r="J20" s="641">
        <v>29412</v>
      </c>
      <c r="K20" s="641">
        <v>29412</v>
      </c>
      <c r="L20" s="641">
        <v>0</v>
      </c>
      <c r="M20" s="641">
        <v>0</v>
      </c>
      <c r="N20" s="644"/>
      <c r="O20" s="641">
        <f>+I20-(SUM(J20:N20))</f>
        <v>308826</v>
      </c>
    </row>
    <row r="21" spans="1:15" s="441" customFormat="1" ht="168.75" x14ac:dyDescent="0.2">
      <c r="A21" s="439">
        <v>5</v>
      </c>
      <c r="B21" s="438" t="s">
        <v>2539</v>
      </c>
      <c r="C21" s="440" t="s">
        <v>2660</v>
      </c>
      <c r="D21" s="639" t="s">
        <v>2540</v>
      </c>
      <c r="E21" s="640" t="s">
        <v>2276</v>
      </c>
      <c r="F21" s="435" t="s">
        <v>360</v>
      </c>
      <c r="G21" s="435" t="s">
        <v>336</v>
      </c>
      <c r="H21" s="436" t="s">
        <v>2720</v>
      </c>
      <c r="I21" s="641">
        <v>187050</v>
      </c>
      <c r="J21" s="641">
        <v>14964</v>
      </c>
      <c r="K21" s="641">
        <v>14964</v>
      </c>
      <c r="L21" s="641">
        <v>0</v>
      </c>
      <c r="M21" s="641">
        <v>0</v>
      </c>
      <c r="N21" s="644"/>
      <c r="O21" s="641">
        <f>+I21-(SUM(J21:N21))</f>
        <v>157122</v>
      </c>
    </row>
    <row r="22" spans="1:15" s="441" customFormat="1" ht="150" x14ac:dyDescent="0.2">
      <c r="A22" s="439">
        <v>6</v>
      </c>
      <c r="B22" s="438" t="s">
        <v>2580</v>
      </c>
      <c r="C22" s="440" t="s">
        <v>2581</v>
      </c>
      <c r="D22" s="639" t="s">
        <v>2582</v>
      </c>
      <c r="E22" s="640" t="s">
        <v>2583</v>
      </c>
      <c r="F22" s="435" t="s">
        <v>360</v>
      </c>
      <c r="G22" s="435" t="s">
        <v>1144</v>
      </c>
      <c r="H22" s="436" t="s">
        <v>2721</v>
      </c>
      <c r="I22" s="641">
        <v>142500</v>
      </c>
      <c r="J22" s="641">
        <v>0</v>
      </c>
      <c r="K22" s="641">
        <v>0</v>
      </c>
      <c r="L22" s="641">
        <v>7125</v>
      </c>
      <c r="M22" s="641">
        <v>7125</v>
      </c>
      <c r="N22" s="644"/>
      <c r="O22" s="641">
        <f>+I22-(SUM(J22:N22))</f>
        <v>128250</v>
      </c>
    </row>
    <row r="23" spans="1:15" s="441" customFormat="1" ht="131.25" x14ac:dyDescent="0.2">
      <c r="A23" s="439">
        <v>7</v>
      </c>
      <c r="B23" s="438" t="s">
        <v>2688</v>
      </c>
      <c r="C23" s="440" t="s">
        <v>2689</v>
      </c>
      <c r="D23" s="639" t="s">
        <v>2690</v>
      </c>
      <c r="E23" s="640" t="s">
        <v>2534</v>
      </c>
      <c r="F23" s="435" t="s">
        <v>360</v>
      </c>
      <c r="G23" s="435" t="s">
        <v>2535</v>
      </c>
      <c r="H23" s="436" t="s">
        <v>2722</v>
      </c>
      <c r="I23" s="641">
        <v>203490</v>
      </c>
      <c r="J23" s="641">
        <v>0</v>
      </c>
      <c r="K23" s="641">
        <v>0</v>
      </c>
      <c r="L23" s="641">
        <v>0</v>
      </c>
      <c r="M23" s="641">
        <v>0</v>
      </c>
      <c r="N23" s="642" t="s">
        <v>1786</v>
      </c>
      <c r="O23" s="641">
        <f>+I23-(SUM(J23:N23))</f>
        <v>203490</v>
      </c>
    </row>
    <row r="24" spans="1:15" s="441" customFormat="1" ht="131.25" x14ac:dyDescent="0.2">
      <c r="A24" s="439">
        <v>8</v>
      </c>
      <c r="B24" s="438" t="s">
        <v>2824</v>
      </c>
      <c r="C24" s="440" t="s">
        <v>2825</v>
      </c>
      <c r="D24" s="639" t="s">
        <v>2826</v>
      </c>
      <c r="E24" s="640" t="s">
        <v>2534</v>
      </c>
      <c r="F24" s="435" t="s">
        <v>360</v>
      </c>
      <c r="G24" s="435" t="s">
        <v>2535</v>
      </c>
      <c r="H24" s="436" t="s">
        <v>2827</v>
      </c>
      <c r="I24" s="641">
        <v>101745</v>
      </c>
      <c r="J24" s="641">
        <v>0</v>
      </c>
      <c r="K24" s="641">
        <v>0</v>
      </c>
      <c r="L24" s="641">
        <v>2250</v>
      </c>
      <c r="M24" s="641">
        <v>2250</v>
      </c>
      <c r="N24" s="642"/>
      <c r="O24" s="641">
        <f>+I24-(SUM(J24:N24))</f>
        <v>97245</v>
      </c>
    </row>
    <row r="25" spans="1:15" s="441" customFormat="1" ht="150" x14ac:dyDescent="0.2">
      <c r="A25" s="439">
        <v>9</v>
      </c>
      <c r="B25" s="438" t="s">
        <v>2828</v>
      </c>
      <c r="C25" s="440" t="s">
        <v>2829</v>
      </c>
      <c r="D25" s="639" t="s">
        <v>2830</v>
      </c>
      <c r="E25" s="640" t="s">
        <v>2583</v>
      </c>
      <c r="F25" s="435" t="s">
        <v>360</v>
      </c>
      <c r="G25" s="435" t="s">
        <v>1144</v>
      </c>
      <c r="H25" s="436" t="s">
        <v>2831</v>
      </c>
      <c r="I25" s="641">
        <v>142500</v>
      </c>
      <c r="J25" s="641"/>
      <c r="K25" s="641"/>
      <c r="L25" s="641">
        <v>7125</v>
      </c>
      <c r="M25" s="641">
        <v>7125</v>
      </c>
      <c r="N25" s="642"/>
      <c r="O25" s="641">
        <f>+I25-(SUM(J25:N25))</f>
        <v>128250</v>
      </c>
    </row>
    <row r="26" spans="1:15" s="441" customFormat="1" x14ac:dyDescent="0.2">
      <c r="A26" s="388" t="s">
        <v>2126</v>
      </c>
      <c r="B26" s="389"/>
      <c r="C26" s="390"/>
      <c r="D26" s="637"/>
      <c r="E26" s="388"/>
      <c r="F26" s="391"/>
      <c r="G26" s="391"/>
      <c r="H26" s="392"/>
      <c r="I26" s="393">
        <f>SUM(I27:I29)</f>
        <v>427500</v>
      </c>
      <c r="J26" s="393">
        <f t="shared" ref="J26:O26" si="2">SUM(J27:J29)</f>
        <v>0</v>
      </c>
      <c r="K26" s="393">
        <f t="shared" si="2"/>
        <v>0</v>
      </c>
      <c r="L26" s="393">
        <f t="shared" si="2"/>
        <v>21375</v>
      </c>
      <c r="M26" s="393">
        <f t="shared" si="2"/>
        <v>21375</v>
      </c>
      <c r="N26" s="393"/>
      <c r="O26" s="393">
        <f t="shared" si="2"/>
        <v>384750</v>
      </c>
    </row>
    <row r="27" spans="1:15" s="441" customFormat="1" ht="168.75" x14ac:dyDescent="0.2">
      <c r="A27" s="439">
        <v>1</v>
      </c>
      <c r="B27" s="438" t="s">
        <v>2438</v>
      </c>
      <c r="C27" s="440" t="s">
        <v>2441</v>
      </c>
      <c r="D27" s="639" t="s">
        <v>2442</v>
      </c>
      <c r="E27" s="640" t="s">
        <v>2147</v>
      </c>
      <c r="F27" s="435" t="s">
        <v>2126</v>
      </c>
      <c r="G27" s="435" t="s">
        <v>1198</v>
      </c>
      <c r="H27" s="436" t="s">
        <v>2723</v>
      </c>
      <c r="I27" s="641">
        <v>171000</v>
      </c>
      <c r="J27" s="641">
        <v>0</v>
      </c>
      <c r="K27" s="641">
        <v>0</v>
      </c>
      <c r="L27" s="641">
        <v>8550</v>
      </c>
      <c r="M27" s="641">
        <v>8550</v>
      </c>
      <c r="N27" s="644"/>
      <c r="O27" s="641">
        <f>+I27-(SUM(J27:N27))</f>
        <v>153900</v>
      </c>
    </row>
    <row r="28" spans="1:15" s="441" customFormat="1" ht="150" x14ac:dyDescent="0.2">
      <c r="A28" s="439">
        <v>2</v>
      </c>
      <c r="B28" s="438" t="s">
        <v>2607</v>
      </c>
      <c r="C28" s="440" t="s">
        <v>2608</v>
      </c>
      <c r="D28" s="639" t="s">
        <v>2609</v>
      </c>
      <c r="E28" s="640" t="s">
        <v>2610</v>
      </c>
      <c r="F28" s="435" t="s">
        <v>2126</v>
      </c>
      <c r="G28" s="435" t="s">
        <v>1144</v>
      </c>
      <c r="H28" s="436" t="s">
        <v>2724</v>
      </c>
      <c r="I28" s="641">
        <v>142500</v>
      </c>
      <c r="J28" s="641">
        <v>0</v>
      </c>
      <c r="K28" s="641">
        <v>0</v>
      </c>
      <c r="L28" s="641">
        <v>7125</v>
      </c>
      <c r="M28" s="641">
        <v>7125</v>
      </c>
      <c r="N28" s="642"/>
      <c r="O28" s="641">
        <f>+I28-(SUM(J28:N28))</f>
        <v>128250</v>
      </c>
    </row>
    <row r="29" spans="1:15" s="441" customFormat="1" ht="168.75" x14ac:dyDescent="0.2">
      <c r="A29" s="439">
        <v>3</v>
      </c>
      <c r="B29" s="438" t="s">
        <v>2691</v>
      </c>
      <c r="C29" s="440" t="s">
        <v>2692</v>
      </c>
      <c r="D29" s="639" t="s">
        <v>2693</v>
      </c>
      <c r="E29" s="640" t="s">
        <v>2147</v>
      </c>
      <c r="F29" s="435" t="s">
        <v>2126</v>
      </c>
      <c r="G29" s="435" t="s">
        <v>1198</v>
      </c>
      <c r="H29" s="436" t="s">
        <v>2725</v>
      </c>
      <c r="I29" s="641">
        <v>114000</v>
      </c>
      <c r="J29" s="641">
        <v>0</v>
      </c>
      <c r="K29" s="641">
        <v>0</v>
      </c>
      <c r="L29" s="641">
        <v>5700</v>
      </c>
      <c r="M29" s="641">
        <v>5700</v>
      </c>
      <c r="N29" s="642"/>
      <c r="O29" s="641">
        <f>+I29-(SUM(J29:N29))</f>
        <v>102600</v>
      </c>
    </row>
    <row r="30" spans="1:15" s="441" customFormat="1" x14ac:dyDescent="0.2">
      <c r="A30" s="388" t="s">
        <v>161</v>
      </c>
      <c r="B30" s="389"/>
      <c r="C30" s="390"/>
      <c r="D30" s="637"/>
      <c r="E30" s="388"/>
      <c r="F30" s="391"/>
      <c r="G30" s="391"/>
      <c r="H30" s="392"/>
      <c r="I30" s="393">
        <f>SUM(I31:I54)</f>
        <v>6477213</v>
      </c>
      <c r="J30" s="393">
        <f t="shared" ref="J30:O30" si="3">SUM(J31:J54)</f>
        <v>171800</v>
      </c>
      <c r="K30" s="393">
        <f t="shared" si="3"/>
        <v>171800</v>
      </c>
      <c r="L30" s="393">
        <f t="shared" si="3"/>
        <v>111406</v>
      </c>
      <c r="M30" s="393">
        <f t="shared" si="3"/>
        <v>196406</v>
      </c>
      <c r="N30" s="393"/>
      <c r="O30" s="393">
        <f t="shared" si="3"/>
        <v>5825801</v>
      </c>
    </row>
    <row r="31" spans="1:15" s="441" customFormat="1" ht="168.75" x14ac:dyDescent="0.2">
      <c r="A31" s="439">
        <v>1</v>
      </c>
      <c r="B31" s="438" t="s">
        <v>2443</v>
      </c>
      <c r="C31" s="440" t="s">
        <v>2444</v>
      </c>
      <c r="D31" s="639" t="s">
        <v>2445</v>
      </c>
      <c r="E31" s="640" t="s">
        <v>2446</v>
      </c>
      <c r="F31" s="435" t="s">
        <v>161</v>
      </c>
      <c r="G31" s="435" t="s">
        <v>1897</v>
      </c>
      <c r="H31" s="436" t="s">
        <v>2727</v>
      </c>
      <c r="I31" s="641">
        <v>50000</v>
      </c>
      <c r="J31" s="641">
        <v>0</v>
      </c>
      <c r="K31" s="641">
        <v>0</v>
      </c>
      <c r="L31" s="641">
        <v>25000</v>
      </c>
      <c r="M31" s="641">
        <v>25000</v>
      </c>
      <c r="N31" s="642"/>
      <c r="O31" s="641">
        <f>+I31-(SUM(J31:N31))</f>
        <v>0</v>
      </c>
    </row>
    <row r="32" spans="1:15" s="441" customFormat="1" ht="93.75" x14ac:dyDescent="0.2">
      <c r="A32" s="439">
        <v>2</v>
      </c>
      <c r="B32" s="438" t="s">
        <v>2468</v>
      </c>
      <c r="C32" s="440" t="s">
        <v>2469</v>
      </c>
      <c r="D32" s="639" t="s">
        <v>2470</v>
      </c>
      <c r="E32" s="640" t="s">
        <v>1810</v>
      </c>
      <c r="F32" s="435" t="s">
        <v>161</v>
      </c>
      <c r="G32" s="435" t="s">
        <v>1198</v>
      </c>
      <c r="H32" s="436" t="s">
        <v>2728</v>
      </c>
      <c r="I32" s="641">
        <v>304000</v>
      </c>
      <c r="J32" s="641">
        <v>0</v>
      </c>
      <c r="K32" s="641">
        <v>0</v>
      </c>
      <c r="L32" s="641">
        <v>15200</v>
      </c>
      <c r="M32" s="641">
        <v>15200</v>
      </c>
      <c r="N32" s="644"/>
      <c r="O32" s="641">
        <f>+I32-(SUM(J32:N32))</f>
        <v>273600</v>
      </c>
    </row>
    <row r="33" spans="1:15" s="441" customFormat="1" ht="131.25" x14ac:dyDescent="0.2">
      <c r="A33" s="439">
        <v>3</v>
      </c>
      <c r="B33" s="438" t="s">
        <v>2471</v>
      </c>
      <c r="C33" s="440" t="s">
        <v>2472</v>
      </c>
      <c r="D33" s="639" t="s">
        <v>2473</v>
      </c>
      <c r="E33" s="640" t="s">
        <v>914</v>
      </c>
      <c r="F33" s="435" t="s">
        <v>161</v>
      </c>
      <c r="G33" s="435" t="s">
        <v>2474</v>
      </c>
      <c r="H33" s="436" t="s">
        <v>2729</v>
      </c>
      <c r="I33" s="641">
        <v>49000</v>
      </c>
      <c r="J33" s="641">
        <v>2450</v>
      </c>
      <c r="K33" s="641">
        <v>2450</v>
      </c>
      <c r="L33" s="641">
        <v>0</v>
      </c>
      <c r="M33" s="641">
        <v>0</v>
      </c>
      <c r="N33" s="644"/>
      <c r="O33" s="641">
        <f>+I33-(SUM(J33:N33))</f>
        <v>44100</v>
      </c>
    </row>
    <row r="34" spans="1:15" s="441" customFormat="1" ht="168.75" x14ac:dyDescent="0.2">
      <c r="A34" s="439">
        <v>4</v>
      </c>
      <c r="B34" s="438" t="s">
        <v>2528</v>
      </c>
      <c r="C34" s="440" t="s">
        <v>2529</v>
      </c>
      <c r="D34" s="639" t="s">
        <v>2530</v>
      </c>
      <c r="E34" s="640" t="s">
        <v>1810</v>
      </c>
      <c r="F34" s="435" t="s">
        <v>161</v>
      </c>
      <c r="G34" s="435" t="s">
        <v>2154</v>
      </c>
      <c r="H34" s="436" t="s">
        <v>2730</v>
      </c>
      <c r="I34" s="641">
        <v>615000</v>
      </c>
      <c r="J34" s="641">
        <v>0</v>
      </c>
      <c r="K34" s="641">
        <v>0</v>
      </c>
      <c r="L34" s="641">
        <v>0</v>
      </c>
      <c r="M34" s="641">
        <v>0</v>
      </c>
      <c r="N34" s="642" t="s">
        <v>1786</v>
      </c>
      <c r="O34" s="641">
        <f>+I34-(SUM(J34:N34))</f>
        <v>615000</v>
      </c>
    </row>
    <row r="35" spans="1:15" s="441" customFormat="1" ht="131.25" x14ac:dyDescent="0.2">
      <c r="A35" s="439">
        <v>5</v>
      </c>
      <c r="B35" s="438" t="s">
        <v>2528</v>
      </c>
      <c r="C35" s="440" t="s">
        <v>2529</v>
      </c>
      <c r="D35" s="639" t="s">
        <v>2530</v>
      </c>
      <c r="E35" s="640" t="s">
        <v>2165</v>
      </c>
      <c r="F35" s="435" t="s">
        <v>161</v>
      </c>
      <c r="G35" s="435" t="s">
        <v>2154</v>
      </c>
      <c r="H35" s="436" t="s">
        <v>2731</v>
      </c>
      <c r="I35" s="641">
        <v>369450</v>
      </c>
      <c r="J35" s="641">
        <v>0</v>
      </c>
      <c r="K35" s="641">
        <v>0</v>
      </c>
      <c r="L35" s="641">
        <v>0</v>
      </c>
      <c r="M35" s="641">
        <v>0</v>
      </c>
      <c r="N35" s="642" t="s">
        <v>1786</v>
      </c>
      <c r="O35" s="641">
        <f>+I35-(SUM(J35:N35))</f>
        <v>369450</v>
      </c>
    </row>
    <row r="36" spans="1:15" s="441" customFormat="1" ht="112.5" x14ac:dyDescent="0.2">
      <c r="A36" s="439">
        <v>6</v>
      </c>
      <c r="B36" s="438" t="s">
        <v>2536</v>
      </c>
      <c r="C36" s="440" t="s">
        <v>2542</v>
      </c>
      <c r="D36" s="639" t="s">
        <v>2543</v>
      </c>
      <c r="E36" s="640" t="s">
        <v>2165</v>
      </c>
      <c r="F36" s="435" t="s">
        <v>161</v>
      </c>
      <c r="G36" s="435" t="s">
        <v>1198</v>
      </c>
      <c r="H36" s="436" t="s">
        <v>2732</v>
      </c>
      <c r="I36" s="641">
        <v>85500</v>
      </c>
      <c r="J36" s="641">
        <v>4275</v>
      </c>
      <c r="K36" s="641">
        <v>4275</v>
      </c>
      <c r="L36" s="641">
        <v>0</v>
      </c>
      <c r="M36" s="641">
        <v>0</v>
      </c>
      <c r="N36" s="644"/>
      <c r="O36" s="641">
        <f>+I36-(SUM(J36:N36))</f>
        <v>76950</v>
      </c>
    </row>
    <row r="37" spans="1:15" s="441" customFormat="1" ht="93.75" x14ac:dyDescent="0.2">
      <c r="A37" s="439">
        <v>7</v>
      </c>
      <c r="B37" s="438" t="s">
        <v>2556</v>
      </c>
      <c r="C37" s="440" t="s">
        <v>2557</v>
      </c>
      <c r="D37" s="639" t="s">
        <v>2558</v>
      </c>
      <c r="E37" s="640" t="s">
        <v>1810</v>
      </c>
      <c r="F37" s="435" t="s">
        <v>161</v>
      </c>
      <c r="G37" s="435" t="s">
        <v>1198</v>
      </c>
      <c r="H37" s="436" t="s">
        <v>2733</v>
      </c>
      <c r="I37" s="641">
        <v>304000</v>
      </c>
      <c r="J37" s="641">
        <v>0</v>
      </c>
      <c r="K37" s="641">
        <v>0</v>
      </c>
      <c r="L37" s="641">
        <v>13563.5</v>
      </c>
      <c r="M37" s="641">
        <v>13563.5</v>
      </c>
      <c r="N37" s="644"/>
      <c r="O37" s="641">
        <f>+I37-(SUM(J37:N37))</f>
        <v>276873</v>
      </c>
    </row>
    <row r="38" spans="1:15" s="441" customFormat="1" ht="112.5" x14ac:dyDescent="0.2">
      <c r="A38" s="439">
        <v>8</v>
      </c>
      <c r="B38" s="438" t="s">
        <v>2584</v>
      </c>
      <c r="C38" s="440" t="s">
        <v>2585</v>
      </c>
      <c r="D38" s="639" t="s">
        <v>2586</v>
      </c>
      <c r="E38" s="640" t="s">
        <v>914</v>
      </c>
      <c r="F38" s="435" t="s">
        <v>161</v>
      </c>
      <c r="G38" s="435" t="s">
        <v>2587</v>
      </c>
      <c r="H38" s="436" t="s">
        <v>2734</v>
      </c>
      <c r="I38" s="641">
        <v>500000</v>
      </c>
      <c r="J38" s="641">
        <v>40000</v>
      </c>
      <c r="K38" s="641">
        <v>40000</v>
      </c>
      <c r="L38" s="641">
        <v>0</v>
      </c>
      <c r="M38" s="641">
        <v>0</v>
      </c>
      <c r="N38" s="644"/>
      <c r="O38" s="641">
        <f>+I38-(SUM(J38:N38))</f>
        <v>420000</v>
      </c>
    </row>
    <row r="39" spans="1:15" s="441" customFormat="1" ht="131.25" x14ac:dyDescent="0.2">
      <c r="A39" s="439">
        <v>9</v>
      </c>
      <c r="B39" s="438" t="s">
        <v>2580</v>
      </c>
      <c r="C39" s="440" t="s">
        <v>2588</v>
      </c>
      <c r="D39" s="639" t="s">
        <v>2589</v>
      </c>
      <c r="E39" s="640" t="s">
        <v>2590</v>
      </c>
      <c r="F39" s="435" t="s">
        <v>161</v>
      </c>
      <c r="G39" s="435" t="s">
        <v>1144</v>
      </c>
      <c r="H39" s="436" t="s">
        <v>2735</v>
      </c>
      <c r="I39" s="641">
        <v>142500</v>
      </c>
      <c r="J39" s="641"/>
      <c r="K39" s="641"/>
      <c r="L39" s="641">
        <v>7125</v>
      </c>
      <c r="M39" s="641">
        <v>7125</v>
      </c>
      <c r="N39" s="644"/>
      <c r="O39" s="641">
        <f>+I39-(SUM(J39:N39))</f>
        <v>128250</v>
      </c>
    </row>
    <row r="40" spans="1:15" s="441" customFormat="1" ht="187.5" x14ac:dyDescent="0.2">
      <c r="A40" s="439">
        <v>10</v>
      </c>
      <c r="B40" s="438" t="s">
        <v>2591</v>
      </c>
      <c r="C40" s="440" t="s">
        <v>2592</v>
      </c>
      <c r="D40" s="639" t="s">
        <v>2593</v>
      </c>
      <c r="E40" s="640" t="s">
        <v>1789</v>
      </c>
      <c r="F40" s="435" t="s">
        <v>161</v>
      </c>
      <c r="G40" s="435" t="s">
        <v>930</v>
      </c>
      <c r="H40" s="436" t="s">
        <v>2736</v>
      </c>
      <c r="I40" s="641">
        <v>205428</v>
      </c>
      <c r="J40" s="641">
        <v>87500</v>
      </c>
      <c r="K40" s="641">
        <v>87500</v>
      </c>
      <c r="L40" s="641">
        <v>0</v>
      </c>
      <c r="M40" s="641">
        <v>0</v>
      </c>
      <c r="N40" s="644"/>
      <c r="O40" s="641">
        <f>+I40-(SUM(J40:N40))</f>
        <v>30428</v>
      </c>
    </row>
    <row r="41" spans="1:15" s="441" customFormat="1" ht="168.75" x14ac:dyDescent="0.2">
      <c r="A41" s="439">
        <v>11</v>
      </c>
      <c r="B41" s="438" t="s">
        <v>2591</v>
      </c>
      <c r="C41" s="440" t="s">
        <v>2592</v>
      </c>
      <c r="D41" s="639" t="s">
        <v>2593</v>
      </c>
      <c r="E41" s="640" t="s">
        <v>1790</v>
      </c>
      <c r="F41" s="435" t="s">
        <v>161</v>
      </c>
      <c r="G41" s="435" t="s">
        <v>930</v>
      </c>
      <c r="H41" s="436" t="s">
        <v>2737</v>
      </c>
      <c r="I41" s="641">
        <v>136959</v>
      </c>
      <c r="J41" s="641">
        <v>0</v>
      </c>
      <c r="K41" s="641">
        <v>0</v>
      </c>
      <c r="L41" s="641">
        <v>0</v>
      </c>
      <c r="M41" s="641">
        <v>0</v>
      </c>
      <c r="N41" s="642" t="s">
        <v>1631</v>
      </c>
      <c r="O41" s="641">
        <f>+I41-(SUM(J41:N41))</f>
        <v>136959</v>
      </c>
    </row>
    <row r="42" spans="1:15" s="441" customFormat="1" ht="112.5" x14ac:dyDescent="0.2">
      <c r="A42" s="439">
        <v>12</v>
      </c>
      <c r="B42" s="438" t="s">
        <v>2611</v>
      </c>
      <c r="C42" s="440" t="s">
        <v>2612</v>
      </c>
      <c r="D42" s="639" t="s">
        <v>2613</v>
      </c>
      <c r="E42" s="640" t="s">
        <v>2165</v>
      </c>
      <c r="F42" s="435" t="s">
        <v>161</v>
      </c>
      <c r="G42" s="435" t="s">
        <v>1198</v>
      </c>
      <c r="H42" s="436" t="s">
        <v>2738</v>
      </c>
      <c r="I42" s="641">
        <v>85500</v>
      </c>
      <c r="J42" s="641">
        <v>0</v>
      </c>
      <c r="K42" s="641">
        <v>0</v>
      </c>
      <c r="L42" s="641">
        <v>3350</v>
      </c>
      <c r="M42" s="641">
        <v>3350</v>
      </c>
      <c r="N42" s="642"/>
      <c r="O42" s="641">
        <f>+I42-(SUM(J42:N42))</f>
        <v>78800</v>
      </c>
    </row>
    <row r="43" spans="1:15" s="441" customFormat="1" ht="168.75" x14ac:dyDescent="0.2">
      <c r="A43" s="439">
        <v>13</v>
      </c>
      <c r="B43" s="438" t="s">
        <v>2614</v>
      </c>
      <c r="C43" s="440" t="s">
        <v>2615</v>
      </c>
      <c r="D43" s="639" t="s">
        <v>2616</v>
      </c>
      <c r="E43" s="640" t="s">
        <v>2617</v>
      </c>
      <c r="F43" s="435" t="s">
        <v>161</v>
      </c>
      <c r="G43" s="435" t="s">
        <v>1198</v>
      </c>
      <c r="H43" s="436" t="s">
        <v>2739</v>
      </c>
      <c r="I43" s="641">
        <v>132525</v>
      </c>
      <c r="J43" s="641">
        <v>0</v>
      </c>
      <c r="K43" s="641">
        <v>0</v>
      </c>
      <c r="L43" s="641">
        <v>6626.25</v>
      </c>
      <c r="M43" s="641">
        <v>6626.25</v>
      </c>
      <c r="N43" s="642"/>
      <c r="O43" s="641">
        <f>+I43-(SUM(J43:N43))</f>
        <v>119272.5</v>
      </c>
    </row>
    <row r="44" spans="1:15" s="441" customFormat="1" ht="131.25" x14ac:dyDescent="0.2">
      <c r="A44" s="439">
        <v>14</v>
      </c>
      <c r="B44" s="438" t="s">
        <v>2607</v>
      </c>
      <c r="C44" s="440" t="s">
        <v>2618</v>
      </c>
      <c r="D44" s="639" t="s">
        <v>2619</v>
      </c>
      <c r="E44" s="640" t="s">
        <v>957</v>
      </c>
      <c r="F44" s="435" t="s">
        <v>161</v>
      </c>
      <c r="G44" s="435" t="s">
        <v>1198</v>
      </c>
      <c r="H44" s="436" t="s">
        <v>2740</v>
      </c>
      <c r="I44" s="641">
        <v>171000</v>
      </c>
      <c r="J44" s="641">
        <v>0</v>
      </c>
      <c r="K44" s="641">
        <v>0</v>
      </c>
      <c r="L44" s="641">
        <v>8550</v>
      </c>
      <c r="M44" s="641">
        <v>8550</v>
      </c>
      <c r="N44" s="642"/>
      <c r="O44" s="641">
        <f>+I44-(SUM(J44:N44))</f>
        <v>153900</v>
      </c>
    </row>
    <row r="45" spans="1:15" s="441" customFormat="1" ht="112.5" x14ac:dyDescent="0.2">
      <c r="A45" s="439">
        <v>15</v>
      </c>
      <c r="B45" s="438">
        <v>243741</v>
      </c>
      <c r="C45" s="440" t="s">
        <v>2638</v>
      </c>
      <c r="D45" s="639" t="s">
        <v>2639</v>
      </c>
      <c r="E45" s="640" t="s">
        <v>2165</v>
      </c>
      <c r="F45" s="435" t="s">
        <v>161</v>
      </c>
      <c r="G45" s="435" t="s">
        <v>1198</v>
      </c>
      <c r="H45" s="436" t="s">
        <v>2741</v>
      </c>
      <c r="I45" s="641">
        <v>22500</v>
      </c>
      <c r="J45" s="641">
        <v>0</v>
      </c>
      <c r="K45" s="641">
        <v>0</v>
      </c>
      <c r="L45" s="641">
        <v>0</v>
      </c>
      <c r="M45" s="641">
        <v>0</v>
      </c>
      <c r="N45" s="642" t="s">
        <v>1631</v>
      </c>
      <c r="O45" s="641">
        <f>+I45-(SUM(J45:N45))</f>
        <v>22500</v>
      </c>
    </row>
    <row r="46" spans="1:15" s="441" customFormat="1" ht="150" x14ac:dyDescent="0.2">
      <c r="A46" s="439">
        <v>16</v>
      </c>
      <c r="B46" s="438">
        <v>243774</v>
      </c>
      <c r="C46" s="440" t="s">
        <v>2661</v>
      </c>
      <c r="D46" s="639" t="s">
        <v>2662</v>
      </c>
      <c r="E46" s="640" t="s">
        <v>914</v>
      </c>
      <c r="F46" s="435" t="s">
        <v>161</v>
      </c>
      <c r="G46" s="435" t="s">
        <v>1039</v>
      </c>
      <c r="H46" s="436" t="s">
        <v>2726</v>
      </c>
      <c r="I46" s="641">
        <v>47500</v>
      </c>
      <c r="J46" s="641">
        <v>2375</v>
      </c>
      <c r="K46" s="641">
        <v>2375</v>
      </c>
      <c r="L46" s="641">
        <v>0</v>
      </c>
      <c r="M46" s="641">
        <v>0</v>
      </c>
      <c r="N46" s="642"/>
      <c r="O46" s="641">
        <f>+I46-(SUM(J46:N46))</f>
        <v>42750</v>
      </c>
    </row>
    <row r="47" spans="1:15" s="441" customFormat="1" ht="112.5" x14ac:dyDescent="0.2">
      <c r="A47" s="439">
        <v>17</v>
      </c>
      <c r="B47" s="438" t="s">
        <v>2694</v>
      </c>
      <c r="C47" s="440" t="s">
        <v>2695</v>
      </c>
      <c r="D47" s="639" t="s">
        <v>2696</v>
      </c>
      <c r="E47" s="640" t="s">
        <v>914</v>
      </c>
      <c r="F47" s="435" t="s">
        <v>161</v>
      </c>
      <c r="G47" s="435" t="s">
        <v>2587</v>
      </c>
      <c r="H47" s="436" t="s">
        <v>2742</v>
      </c>
      <c r="I47" s="641">
        <v>440000</v>
      </c>
      <c r="J47" s="641">
        <v>35200</v>
      </c>
      <c r="K47" s="641">
        <v>35200</v>
      </c>
      <c r="L47" s="641">
        <v>0</v>
      </c>
      <c r="M47" s="641">
        <v>0</v>
      </c>
      <c r="N47" s="642"/>
      <c r="O47" s="641">
        <f>+I47-(SUM(J47:N47))</f>
        <v>369600</v>
      </c>
    </row>
    <row r="48" spans="1:15" s="441" customFormat="1" ht="131.25" x14ac:dyDescent="0.2">
      <c r="A48" s="439">
        <v>18</v>
      </c>
      <c r="B48" s="438" t="s">
        <v>2703</v>
      </c>
      <c r="C48" s="440" t="s">
        <v>2708</v>
      </c>
      <c r="D48" s="639" t="s">
        <v>2709</v>
      </c>
      <c r="E48" s="640" t="s">
        <v>1810</v>
      </c>
      <c r="F48" s="435" t="s">
        <v>161</v>
      </c>
      <c r="G48" s="435" t="s">
        <v>1763</v>
      </c>
      <c r="H48" s="436" t="s">
        <v>2743</v>
      </c>
      <c r="I48" s="641">
        <v>135100</v>
      </c>
      <c r="J48" s="641">
        <v>0</v>
      </c>
      <c r="K48" s="641">
        <v>0</v>
      </c>
      <c r="L48" s="641">
        <v>0</v>
      </c>
      <c r="M48" s="641">
        <v>85000</v>
      </c>
      <c r="N48" s="642"/>
      <c r="O48" s="641">
        <f>+I48-(SUM(J48:N48))</f>
        <v>50100</v>
      </c>
    </row>
    <row r="49" spans="1:15" s="441" customFormat="1" ht="150" x14ac:dyDescent="0.2">
      <c r="A49" s="439">
        <v>19</v>
      </c>
      <c r="B49" s="438" t="s">
        <v>2819</v>
      </c>
      <c r="C49" s="440" t="s">
        <v>2820</v>
      </c>
      <c r="D49" s="639" t="s">
        <v>2821</v>
      </c>
      <c r="E49" s="640" t="s">
        <v>1810</v>
      </c>
      <c r="F49" s="435" t="s">
        <v>161</v>
      </c>
      <c r="G49" s="435" t="s">
        <v>1763</v>
      </c>
      <c r="H49" s="436" t="s">
        <v>2832</v>
      </c>
      <c r="I49" s="641">
        <v>1319136</v>
      </c>
      <c r="J49" s="641">
        <v>0</v>
      </c>
      <c r="K49" s="641">
        <v>0</v>
      </c>
      <c r="L49" s="641">
        <v>0</v>
      </c>
      <c r="M49" s="641">
        <v>0</v>
      </c>
      <c r="N49" s="642" t="s">
        <v>1786</v>
      </c>
      <c r="O49" s="641">
        <f>+I49-(SUM(J49:N49))</f>
        <v>1319136</v>
      </c>
    </row>
    <row r="50" spans="1:15" s="441" customFormat="1" ht="131.25" x14ac:dyDescent="0.2">
      <c r="A50" s="439">
        <v>20</v>
      </c>
      <c r="B50" s="438" t="s">
        <v>2819</v>
      </c>
      <c r="C50" s="440" t="s">
        <v>2820</v>
      </c>
      <c r="D50" s="639" t="s">
        <v>2821</v>
      </c>
      <c r="E50" s="640" t="s">
        <v>2833</v>
      </c>
      <c r="F50" s="435" t="s">
        <v>161</v>
      </c>
      <c r="G50" s="435" t="s">
        <v>1763</v>
      </c>
      <c r="H50" s="436" t="s">
        <v>2834</v>
      </c>
      <c r="I50" s="641">
        <v>819090</v>
      </c>
      <c r="J50" s="641">
        <v>0</v>
      </c>
      <c r="K50" s="641">
        <v>0</v>
      </c>
      <c r="L50" s="641">
        <v>0</v>
      </c>
      <c r="M50" s="641">
        <v>0</v>
      </c>
      <c r="N50" s="642" t="s">
        <v>2835</v>
      </c>
      <c r="O50" s="641">
        <f>+I50-(SUM(J50:N50))</f>
        <v>819090</v>
      </c>
    </row>
    <row r="51" spans="1:15" s="441" customFormat="1" ht="131.25" x14ac:dyDescent="0.2">
      <c r="A51" s="439">
        <v>21</v>
      </c>
      <c r="B51" s="438" t="s">
        <v>2836</v>
      </c>
      <c r="C51" s="440" t="s">
        <v>2837</v>
      </c>
      <c r="D51" s="639" t="s">
        <v>2838</v>
      </c>
      <c r="E51" s="640" t="s">
        <v>2590</v>
      </c>
      <c r="F51" s="435" t="s">
        <v>161</v>
      </c>
      <c r="G51" s="435" t="s">
        <v>1144</v>
      </c>
      <c r="H51" s="436" t="s">
        <v>2839</v>
      </c>
      <c r="I51" s="641">
        <v>142500</v>
      </c>
      <c r="J51" s="641">
        <v>0</v>
      </c>
      <c r="K51" s="641">
        <v>0</v>
      </c>
      <c r="L51" s="641">
        <v>7125</v>
      </c>
      <c r="M51" s="641">
        <v>7125</v>
      </c>
      <c r="N51" s="642"/>
      <c r="O51" s="641">
        <f>+I51-(SUM(J51:N51))</f>
        <v>128250</v>
      </c>
    </row>
    <row r="52" spans="1:15" s="441" customFormat="1" ht="150" x14ac:dyDescent="0.2">
      <c r="A52" s="439">
        <v>22</v>
      </c>
      <c r="B52" s="438" t="s">
        <v>2840</v>
      </c>
      <c r="C52" s="440" t="s">
        <v>2841</v>
      </c>
      <c r="D52" s="639" t="s">
        <v>2842</v>
      </c>
      <c r="E52" s="640" t="s">
        <v>2025</v>
      </c>
      <c r="F52" s="435" t="s">
        <v>161</v>
      </c>
      <c r="G52" s="435" t="s">
        <v>336</v>
      </c>
      <c r="H52" s="436" t="s">
        <v>2843</v>
      </c>
      <c r="I52" s="641">
        <v>228000</v>
      </c>
      <c r="J52" s="641">
        <v>0</v>
      </c>
      <c r="K52" s="641">
        <v>0</v>
      </c>
      <c r="L52" s="641">
        <v>18240</v>
      </c>
      <c r="M52" s="641">
        <v>18240</v>
      </c>
      <c r="N52" s="642"/>
      <c r="O52" s="641">
        <f>+I52-(SUM(J52:N52))</f>
        <v>191520</v>
      </c>
    </row>
    <row r="53" spans="1:15" s="441" customFormat="1" ht="93.75" x14ac:dyDescent="0.2">
      <c r="A53" s="439">
        <v>23</v>
      </c>
      <c r="B53" s="438" t="s">
        <v>2840</v>
      </c>
      <c r="C53" s="440" t="s">
        <v>2844</v>
      </c>
      <c r="D53" s="639" t="s">
        <v>2845</v>
      </c>
      <c r="E53" s="640" t="s">
        <v>1810</v>
      </c>
      <c r="F53" s="435" t="s">
        <v>161</v>
      </c>
      <c r="G53" s="435" t="s">
        <v>1198</v>
      </c>
      <c r="H53" s="436" t="s">
        <v>2846</v>
      </c>
      <c r="I53" s="641">
        <v>40000</v>
      </c>
      <c r="J53" s="641">
        <v>0</v>
      </c>
      <c r="K53" s="641">
        <v>0</v>
      </c>
      <c r="L53" s="641">
        <v>0</v>
      </c>
      <c r="M53" s="641">
        <v>0</v>
      </c>
      <c r="N53" s="642" t="s">
        <v>1631</v>
      </c>
      <c r="O53" s="641">
        <f>+I53-(SUM(J53:N53))</f>
        <v>40000</v>
      </c>
    </row>
    <row r="54" spans="1:15" s="441" customFormat="1" ht="168.75" x14ac:dyDescent="0.2">
      <c r="A54" s="439">
        <v>24</v>
      </c>
      <c r="B54" s="438" t="s">
        <v>2828</v>
      </c>
      <c r="C54" s="440" t="s">
        <v>2847</v>
      </c>
      <c r="D54" s="639" t="s">
        <v>2848</v>
      </c>
      <c r="E54" s="640" t="s">
        <v>2617</v>
      </c>
      <c r="F54" s="435" t="s">
        <v>161</v>
      </c>
      <c r="G54" s="435" t="s">
        <v>1198</v>
      </c>
      <c r="H54" s="436" t="s">
        <v>2849</v>
      </c>
      <c r="I54" s="641">
        <v>132525</v>
      </c>
      <c r="J54" s="641">
        <v>0</v>
      </c>
      <c r="K54" s="641">
        <v>0</v>
      </c>
      <c r="L54" s="641">
        <v>6626.25</v>
      </c>
      <c r="M54" s="641">
        <v>6626.25</v>
      </c>
      <c r="N54" s="642"/>
      <c r="O54" s="641">
        <f>+I54-(SUM(J54:N54))</f>
        <v>119272.5</v>
      </c>
    </row>
    <row r="55" spans="1:15" s="441" customFormat="1" x14ac:dyDescent="0.2">
      <c r="A55" s="388" t="s">
        <v>156</v>
      </c>
      <c r="B55" s="389"/>
      <c r="C55" s="390"/>
      <c r="D55" s="637"/>
      <c r="E55" s="388"/>
      <c r="F55" s="391"/>
      <c r="G55" s="391"/>
      <c r="H55" s="392"/>
      <c r="I55" s="393">
        <f>SUM(I56:I58)</f>
        <v>3238190</v>
      </c>
      <c r="J55" s="393">
        <f t="shared" ref="J55:O55" si="4">SUM(J56:J58)</f>
        <v>0</v>
      </c>
      <c r="K55" s="393">
        <f t="shared" si="4"/>
        <v>0</v>
      </c>
      <c r="L55" s="393">
        <f t="shared" si="4"/>
        <v>123050</v>
      </c>
      <c r="M55" s="393">
        <f t="shared" si="4"/>
        <v>123050</v>
      </c>
      <c r="N55" s="393"/>
      <c r="O55" s="393">
        <f t="shared" si="4"/>
        <v>2992090</v>
      </c>
    </row>
    <row r="56" spans="1:15" s="441" customFormat="1" ht="281.25" x14ac:dyDescent="0.2">
      <c r="A56" s="439">
        <v>1</v>
      </c>
      <c r="B56" s="438">
        <v>243788</v>
      </c>
      <c r="C56" s="440" t="s">
        <v>2663</v>
      </c>
      <c r="D56" s="639" t="s">
        <v>2664</v>
      </c>
      <c r="E56" s="640" t="s">
        <v>2665</v>
      </c>
      <c r="F56" s="435" t="s">
        <v>156</v>
      </c>
      <c r="G56" s="435" t="s">
        <v>1198</v>
      </c>
      <c r="H56" s="436" t="s">
        <v>2744</v>
      </c>
      <c r="I56" s="641">
        <v>38190</v>
      </c>
      <c r="J56" s="641">
        <v>0</v>
      </c>
      <c r="K56" s="641">
        <v>0</v>
      </c>
      <c r="L56" s="641">
        <v>0</v>
      </c>
      <c r="M56" s="641">
        <v>0</v>
      </c>
      <c r="N56" s="642" t="s">
        <v>2182</v>
      </c>
      <c r="O56" s="641">
        <f>+I56-(SUM(J56:N56))</f>
        <v>38190</v>
      </c>
    </row>
    <row r="57" spans="1:15" s="441" customFormat="1" ht="112.5" x14ac:dyDescent="0.2">
      <c r="A57" s="439">
        <v>2</v>
      </c>
      <c r="B57" s="438" t="s">
        <v>2819</v>
      </c>
      <c r="C57" s="440" t="s">
        <v>2850</v>
      </c>
      <c r="D57" s="639" t="s">
        <v>2851</v>
      </c>
      <c r="E57" s="640" t="s">
        <v>1268</v>
      </c>
      <c r="F57" s="435" t="s">
        <v>156</v>
      </c>
      <c r="G57" s="435" t="s">
        <v>2310</v>
      </c>
      <c r="H57" s="436" t="s">
        <v>2852</v>
      </c>
      <c r="I57" s="641">
        <v>2700000</v>
      </c>
      <c r="J57" s="641">
        <v>0</v>
      </c>
      <c r="K57" s="641">
        <v>0</v>
      </c>
      <c r="L57" s="641">
        <v>100000</v>
      </c>
      <c r="M57" s="641">
        <v>100000</v>
      </c>
      <c r="N57" s="642"/>
      <c r="O57" s="641">
        <f>+I57-(SUM(J57:N57))</f>
        <v>2500000</v>
      </c>
    </row>
    <row r="58" spans="1:15" s="441" customFormat="1" ht="131.25" x14ac:dyDescent="0.2">
      <c r="A58" s="439">
        <v>3</v>
      </c>
      <c r="B58" s="438" t="s">
        <v>2819</v>
      </c>
      <c r="C58" s="440" t="s">
        <v>2853</v>
      </c>
      <c r="D58" s="639" t="s">
        <v>2854</v>
      </c>
      <c r="E58" s="640" t="s">
        <v>1268</v>
      </c>
      <c r="F58" s="435" t="s">
        <v>156</v>
      </c>
      <c r="G58" s="435" t="s">
        <v>2855</v>
      </c>
      <c r="H58" s="436" t="s">
        <v>2856</v>
      </c>
      <c r="I58" s="641">
        <v>500000</v>
      </c>
      <c r="J58" s="641">
        <v>0</v>
      </c>
      <c r="K58" s="641">
        <v>0</v>
      </c>
      <c r="L58" s="641">
        <v>23050</v>
      </c>
      <c r="M58" s="641">
        <v>23050</v>
      </c>
      <c r="N58" s="642"/>
      <c r="O58" s="641">
        <f>+I58-(SUM(J58:N58))</f>
        <v>453900</v>
      </c>
    </row>
    <row r="59" spans="1:15" s="441" customFormat="1" x14ac:dyDescent="0.2">
      <c r="A59" s="388" t="s">
        <v>2434</v>
      </c>
      <c r="B59" s="389"/>
      <c r="C59" s="390"/>
      <c r="D59" s="637"/>
      <c r="E59" s="388"/>
      <c r="F59" s="391"/>
      <c r="G59" s="391"/>
      <c r="H59" s="392"/>
      <c r="I59" s="393">
        <f>SUM(I60:I96)</f>
        <v>10008958.6</v>
      </c>
      <c r="J59" s="393">
        <f t="shared" ref="J59:M59" si="5">SUM(J60:J96)</f>
        <v>205554.598</v>
      </c>
      <c r="K59" s="393">
        <f t="shared" si="5"/>
        <v>205554.598</v>
      </c>
      <c r="L59" s="393">
        <f t="shared" si="5"/>
        <v>138861</v>
      </c>
      <c r="M59" s="393">
        <f t="shared" si="5"/>
        <v>266361</v>
      </c>
      <c r="N59" s="393"/>
      <c r="O59" s="393">
        <f>SUM(O60:O96)</f>
        <v>9192627.4039999992</v>
      </c>
    </row>
    <row r="60" spans="1:15" s="441" customFormat="1" ht="131.25" x14ac:dyDescent="0.2">
      <c r="A60" s="439">
        <v>1</v>
      </c>
      <c r="B60" s="438" t="s">
        <v>2435</v>
      </c>
      <c r="C60" s="440" t="s">
        <v>2450</v>
      </c>
      <c r="D60" s="639" t="s">
        <v>2451</v>
      </c>
      <c r="E60" s="640" t="s">
        <v>451</v>
      </c>
      <c r="F60" s="435" t="s">
        <v>2434</v>
      </c>
      <c r="G60" s="435" t="s">
        <v>1162</v>
      </c>
      <c r="H60" s="436" t="s">
        <v>2747</v>
      </c>
      <c r="I60" s="641">
        <v>21000</v>
      </c>
      <c r="J60" s="641">
        <v>0</v>
      </c>
      <c r="K60" s="641">
        <v>0</v>
      </c>
      <c r="L60" s="641">
        <v>0</v>
      </c>
      <c r="M60" s="641">
        <v>0</v>
      </c>
      <c r="N60" s="642" t="s">
        <v>1911</v>
      </c>
      <c r="O60" s="641">
        <f>+I60-(SUM(J60:N60))</f>
        <v>21000</v>
      </c>
    </row>
    <row r="61" spans="1:15" s="441" customFormat="1" ht="150" x14ac:dyDescent="0.2">
      <c r="A61" s="439">
        <v>2</v>
      </c>
      <c r="B61" s="438" t="s">
        <v>2435</v>
      </c>
      <c r="C61" s="440" t="s">
        <v>2448</v>
      </c>
      <c r="D61" s="639" t="s">
        <v>2449</v>
      </c>
      <c r="E61" s="640" t="s">
        <v>451</v>
      </c>
      <c r="F61" s="435" t="s">
        <v>2434</v>
      </c>
      <c r="G61" s="435" t="s">
        <v>2154</v>
      </c>
      <c r="H61" s="436" t="s">
        <v>2748</v>
      </c>
      <c r="I61" s="641">
        <v>254000</v>
      </c>
      <c r="J61" s="641">
        <v>0</v>
      </c>
      <c r="K61" s="641">
        <v>0</v>
      </c>
      <c r="L61" s="641">
        <v>0</v>
      </c>
      <c r="M61" s="641">
        <v>0</v>
      </c>
      <c r="N61" s="642" t="s">
        <v>1786</v>
      </c>
      <c r="O61" s="641">
        <f>+I61-(SUM(J61:N61))</f>
        <v>254000</v>
      </c>
    </row>
    <row r="62" spans="1:15" s="441" customFormat="1" ht="112.5" x14ac:dyDescent="0.2">
      <c r="A62" s="439">
        <v>3</v>
      </c>
      <c r="B62" s="438" t="s">
        <v>2447</v>
      </c>
      <c r="C62" s="440" t="s">
        <v>2452</v>
      </c>
      <c r="D62" s="639" t="s">
        <v>2453</v>
      </c>
      <c r="E62" s="640" t="s">
        <v>2142</v>
      </c>
      <c r="F62" s="435" t="s">
        <v>2434</v>
      </c>
      <c r="G62" s="435" t="s">
        <v>1198</v>
      </c>
      <c r="H62" s="436" t="s">
        <v>2749</v>
      </c>
      <c r="I62" s="641">
        <v>165300</v>
      </c>
      <c r="J62" s="641">
        <v>0</v>
      </c>
      <c r="K62" s="641">
        <v>0</v>
      </c>
      <c r="L62" s="641">
        <v>8265</v>
      </c>
      <c r="M62" s="641">
        <v>8265</v>
      </c>
      <c r="N62" s="642"/>
      <c r="O62" s="641">
        <f>+I62-(SUM(J62:N62))</f>
        <v>148770</v>
      </c>
    </row>
    <row r="63" spans="1:15" s="441" customFormat="1" ht="150" x14ac:dyDescent="0.2">
      <c r="A63" s="439">
        <v>4</v>
      </c>
      <c r="B63" s="438" t="s">
        <v>2475</v>
      </c>
      <c r="C63" s="440" t="s">
        <v>2476</v>
      </c>
      <c r="D63" s="639" t="s">
        <v>2477</v>
      </c>
      <c r="E63" s="640" t="s">
        <v>1167</v>
      </c>
      <c r="F63" s="435" t="s">
        <v>2434</v>
      </c>
      <c r="G63" s="435" t="s">
        <v>2347</v>
      </c>
      <c r="H63" s="436" t="s">
        <v>2750</v>
      </c>
      <c r="I63" s="641">
        <v>120000</v>
      </c>
      <c r="J63" s="641">
        <v>6000</v>
      </c>
      <c r="K63" s="641">
        <v>6000</v>
      </c>
      <c r="L63" s="641">
        <v>0</v>
      </c>
      <c r="M63" s="641">
        <v>0</v>
      </c>
      <c r="N63" s="642"/>
      <c r="O63" s="641">
        <f>+I63-(SUM(J63:N63))</f>
        <v>108000</v>
      </c>
    </row>
    <row r="64" spans="1:15" s="441" customFormat="1" ht="112.5" x14ac:dyDescent="0.2">
      <c r="A64" s="439">
        <v>5</v>
      </c>
      <c r="B64" s="438" t="s">
        <v>2478</v>
      </c>
      <c r="C64" s="440" t="s">
        <v>2479</v>
      </c>
      <c r="D64" s="639" t="s">
        <v>2480</v>
      </c>
      <c r="E64" s="640" t="s">
        <v>2174</v>
      </c>
      <c r="F64" s="435" t="s">
        <v>2434</v>
      </c>
      <c r="G64" s="435" t="s">
        <v>1198</v>
      </c>
      <c r="H64" s="436" t="s">
        <v>2751</v>
      </c>
      <c r="I64" s="641">
        <v>144666</v>
      </c>
      <c r="J64" s="641">
        <v>0</v>
      </c>
      <c r="K64" s="641">
        <v>0</v>
      </c>
      <c r="L64" s="641">
        <v>0</v>
      </c>
      <c r="M64" s="641">
        <v>0</v>
      </c>
      <c r="N64" s="642" t="s">
        <v>2325</v>
      </c>
      <c r="O64" s="641">
        <f>+I64-(SUM(J64:N64))</f>
        <v>144666</v>
      </c>
    </row>
    <row r="65" spans="1:15" s="441" customFormat="1" ht="150" x14ac:dyDescent="0.2">
      <c r="A65" s="439">
        <v>6</v>
      </c>
      <c r="B65" s="438" t="s">
        <v>2515</v>
      </c>
      <c r="C65" s="440" t="s">
        <v>2516</v>
      </c>
      <c r="D65" s="639" t="s">
        <v>2517</v>
      </c>
      <c r="E65" s="640" t="s">
        <v>1167</v>
      </c>
      <c r="F65" s="435" t="s">
        <v>2434</v>
      </c>
      <c r="G65" s="435" t="s">
        <v>2347</v>
      </c>
      <c r="H65" s="436" t="s">
        <v>2752</v>
      </c>
      <c r="I65" s="641">
        <v>120000</v>
      </c>
      <c r="J65" s="641">
        <v>6000</v>
      </c>
      <c r="K65" s="641">
        <v>6000</v>
      </c>
      <c r="L65" s="641">
        <v>0</v>
      </c>
      <c r="M65" s="641">
        <v>0</v>
      </c>
      <c r="N65" s="642"/>
      <c r="O65" s="641">
        <f>+I65-(SUM(J65:N65))</f>
        <v>108000</v>
      </c>
    </row>
    <row r="66" spans="1:15" s="441" customFormat="1" ht="150" x14ac:dyDescent="0.2">
      <c r="A66" s="439">
        <v>7</v>
      </c>
      <c r="B66" s="438" t="s">
        <v>2518</v>
      </c>
      <c r="C66" s="440" t="s">
        <v>2519</v>
      </c>
      <c r="D66" s="639" t="s">
        <v>2520</v>
      </c>
      <c r="E66" s="640" t="s">
        <v>2343</v>
      </c>
      <c r="F66" s="435" t="s">
        <v>2434</v>
      </c>
      <c r="G66" s="435" t="s">
        <v>2249</v>
      </c>
      <c r="H66" s="436" t="s">
        <v>2753</v>
      </c>
      <c r="I66" s="641">
        <v>14000</v>
      </c>
      <c r="J66" s="641">
        <v>700</v>
      </c>
      <c r="K66" s="641">
        <v>700</v>
      </c>
      <c r="L66" s="641">
        <v>0</v>
      </c>
      <c r="M66" s="641">
        <v>0</v>
      </c>
      <c r="N66" s="642"/>
      <c r="O66" s="641">
        <f>+I66-(SUM(J66:N66))</f>
        <v>12600</v>
      </c>
    </row>
    <row r="67" spans="1:15" s="441" customFormat="1" ht="150" x14ac:dyDescent="0.2">
      <c r="A67" s="439">
        <v>8</v>
      </c>
      <c r="B67" s="438" t="s">
        <v>2528</v>
      </c>
      <c r="C67" s="440" t="s">
        <v>2529</v>
      </c>
      <c r="D67" s="639" t="s">
        <v>2530</v>
      </c>
      <c r="E67" s="640" t="s">
        <v>1894</v>
      </c>
      <c r="F67" s="435" t="s">
        <v>2434</v>
      </c>
      <c r="G67" s="435" t="s">
        <v>2154</v>
      </c>
      <c r="H67" s="436" t="s">
        <v>2754</v>
      </c>
      <c r="I67" s="641">
        <v>796402</v>
      </c>
      <c r="J67" s="641">
        <v>0</v>
      </c>
      <c r="K67" s="641">
        <v>0</v>
      </c>
      <c r="L67" s="641">
        <v>0</v>
      </c>
      <c r="M67" s="641">
        <v>0</v>
      </c>
      <c r="N67" s="642" t="s">
        <v>2325</v>
      </c>
      <c r="O67" s="641">
        <f>+I67-(SUM(J67:N67))</f>
        <v>796402</v>
      </c>
    </row>
    <row r="68" spans="1:15" s="441" customFormat="1" ht="168.75" x14ac:dyDescent="0.2">
      <c r="A68" s="439">
        <v>9</v>
      </c>
      <c r="B68" s="438" t="s">
        <v>2528</v>
      </c>
      <c r="C68" s="440" t="s">
        <v>2529</v>
      </c>
      <c r="D68" s="639" t="s">
        <v>2530</v>
      </c>
      <c r="E68" s="640" t="s">
        <v>2190</v>
      </c>
      <c r="F68" s="435" t="s">
        <v>2434</v>
      </c>
      <c r="G68" s="435" t="s">
        <v>2154</v>
      </c>
      <c r="H68" s="436" t="s">
        <v>2755</v>
      </c>
      <c r="I68" s="641">
        <v>332200</v>
      </c>
      <c r="J68" s="641">
        <v>0</v>
      </c>
      <c r="K68" s="641">
        <v>0</v>
      </c>
      <c r="L68" s="641">
        <v>0</v>
      </c>
      <c r="M68" s="641">
        <v>0</v>
      </c>
      <c r="N68" s="642" t="s">
        <v>2325</v>
      </c>
      <c r="O68" s="641">
        <f>+I68-(SUM(J68:N68))</f>
        <v>332200</v>
      </c>
    </row>
    <row r="69" spans="1:15" s="441" customFormat="1" ht="262.5" x14ac:dyDescent="0.2">
      <c r="A69" s="439">
        <v>10</v>
      </c>
      <c r="B69" s="438" t="s">
        <v>2541</v>
      </c>
      <c r="C69" s="440" t="s">
        <v>2544</v>
      </c>
      <c r="D69" s="639" t="s">
        <v>2545</v>
      </c>
      <c r="E69" s="640" t="s">
        <v>2183</v>
      </c>
      <c r="F69" s="435" t="s">
        <v>2434</v>
      </c>
      <c r="G69" s="435" t="s">
        <v>1198</v>
      </c>
      <c r="H69" s="436" t="s">
        <v>2756</v>
      </c>
      <c r="I69" s="641">
        <v>236160</v>
      </c>
      <c r="J69" s="641">
        <v>0</v>
      </c>
      <c r="K69" s="641">
        <v>0</v>
      </c>
      <c r="L69" s="641">
        <v>0</v>
      </c>
      <c r="M69" s="641">
        <v>0</v>
      </c>
      <c r="N69" s="642" t="s">
        <v>2182</v>
      </c>
      <c r="O69" s="641">
        <f>+I69-(SUM(J69:N69))</f>
        <v>236160</v>
      </c>
    </row>
    <row r="70" spans="1:15" s="441" customFormat="1" ht="300" x14ac:dyDescent="0.2">
      <c r="A70" s="439">
        <v>11</v>
      </c>
      <c r="B70" s="438" t="s">
        <v>2541</v>
      </c>
      <c r="C70" s="440" t="s">
        <v>2546</v>
      </c>
      <c r="D70" s="639" t="s">
        <v>2547</v>
      </c>
      <c r="E70" s="640" t="s">
        <v>2181</v>
      </c>
      <c r="F70" s="435" t="s">
        <v>2434</v>
      </c>
      <c r="G70" s="435" t="s">
        <v>1198</v>
      </c>
      <c r="H70" s="436" t="s">
        <v>2757</v>
      </c>
      <c r="I70" s="641">
        <v>240000</v>
      </c>
      <c r="J70" s="641">
        <v>0</v>
      </c>
      <c r="K70" s="641">
        <v>0</v>
      </c>
      <c r="L70" s="641">
        <v>0</v>
      </c>
      <c r="M70" s="641">
        <v>0</v>
      </c>
      <c r="N70" s="642" t="s">
        <v>2182</v>
      </c>
      <c r="O70" s="641">
        <f>+I70-(SUM(J70:N70))</f>
        <v>240000</v>
      </c>
    </row>
    <row r="71" spans="1:15" s="441" customFormat="1" ht="150" x14ac:dyDescent="0.2">
      <c r="A71" s="439">
        <v>12</v>
      </c>
      <c r="B71" s="438" t="s">
        <v>2536</v>
      </c>
      <c r="C71" s="440" t="s">
        <v>2548</v>
      </c>
      <c r="D71" s="639" t="s">
        <v>2549</v>
      </c>
      <c r="E71" s="640" t="s">
        <v>1167</v>
      </c>
      <c r="F71" s="435" t="s">
        <v>2434</v>
      </c>
      <c r="G71" s="435" t="s">
        <v>2347</v>
      </c>
      <c r="H71" s="436" t="s">
        <v>2758</v>
      </c>
      <c r="I71" s="641">
        <v>40000</v>
      </c>
      <c r="J71" s="641">
        <v>2000</v>
      </c>
      <c r="K71" s="641">
        <v>2000</v>
      </c>
      <c r="L71" s="641">
        <v>0</v>
      </c>
      <c r="M71" s="641">
        <v>0</v>
      </c>
      <c r="N71" s="642"/>
      <c r="O71" s="641">
        <f>+I71-(SUM(J71:N71))</f>
        <v>36000</v>
      </c>
    </row>
    <row r="72" spans="1:15" s="441" customFormat="1" ht="112.5" x14ac:dyDescent="0.2">
      <c r="A72" s="439">
        <v>13</v>
      </c>
      <c r="B72" s="438" t="s">
        <v>2559</v>
      </c>
      <c r="C72" s="440" t="s">
        <v>2560</v>
      </c>
      <c r="D72" s="639" t="s">
        <v>2561</v>
      </c>
      <c r="E72" s="640" t="s">
        <v>2142</v>
      </c>
      <c r="F72" s="435" t="s">
        <v>2434</v>
      </c>
      <c r="G72" s="435" t="s">
        <v>1198</v>
      </c>
      <c r="H72" s="436" t="s">
        <v>2759</v>
      </c>
      <c r="I72" s="641">
        <v>110200</v>
      </c>
      <c r="J72" s="641">
        <v>0</v>
      </c>
      <c r="K72" s="641">
        <v>0</v>
      </c>
      <c r="L72" s="641">
        <v>5510</v>
      </c>
      <c r="M72" s="641">
        <v>5510</v>
      </c>
      <c r="N72" s="642"/>
      <c r="O72" s="641">
        <f>+I72-(SUM(J72:N72))</f>
        <v>99180</v>
      </c>
    </row>
    <row r="73" spans="1:15" s="441" customFormat="1" ht="131.25" x14ac:dyDescent="0.2">
      <c r="A73" s="439">
        <v>14</v>
      </c>
      <c r="B73" s="438" t="s">
        <v>2562</v>
      </c>
      <c r="C73" s="440" t="s">
        <v>2563</v>
      </c>
      <c r="D73" s="639" t="s">
        <v>2564</v>
      </c>
      <c r="E73" s="640" t="s">
        <v>451</v>
      </c>
      <c r="F73" s="435" t="s">
        <v>2434</v>
      </c>
      <c r="G73" s="435" t="s">
        <v>2565</v>
      </c>
      <c r="H73" s="436" t="s">
        <v>2760</v>
      </c>
      <c r="I73" s="641">
        <v>271675</v>
      </c>
      <c r="J73" s="641">
        <v>13583.75</v>
      </c>
      <c r="K73" s="641">
        <v>13583.75</v>
      </c>
      <c r="L73" s="641">
        <v>0</v>
      </c>
      <c r="M73" s="641">
        <v>0</v>
      </c>
      <c r="N73" s="642"/>
      <c r="O73" s="641">
        <f>+I73-(SUM(J73:N73))</f>
        <v>244507.5</v>
      </c>
    </row>
    <row r="74" spans="1:15" s="441" customFormat="1" ht="93.75" x14ac:dyDescent="0.2">
      <c r="A74" s="439">
        <v>15</v>
      </c>
      <c r="B74" s="438" t="s">
        <v>2594</v>
      </c>
      <c r="C74" s="440" t="s">
        <v>2857</v>
      </c>
      <c r="D74" s="639" t="s">
        <v>2595</v>
      </c>
      <c r="E74" s="640" t="s">
        <v>2177</v>
      </c>
      <c r="F74" s="435" t="s">
        <v>2434</v>
      </c>
      <c r="G74" s="435" t="s">
        <v>1198</v>
      </c>
      <c r="H74" s="436" t="s">
        <v>2761</v>
      </c>
      <c r="I74" s="641">
        <v>128250</v>
      </c>
      <c r="J74" s="641">
        <v>0</v>
      </c>
      <c r="K74" s="641">
        <v>0</v>
      </c>
      <c r="L74" s="641">
        <v>6412.5</v>
      </c>
      <c r="M74" s="641">
        <v>6412.5</v>
      </c>
      <c r="N74" s="642"/>
      <c r="O74" s="641">
        <f>+I74-(SUM(J74:N74))</f>
        <v>115425</v>
      </c>
    </row>
    <row r="75" spans="1:15" s="441" customFormat="1" ht="168.75" x14ac:dyDescent="0.2">
      <c r="A75" s="439">
        <v>16</v>
      </c>
      <c r="B75" s="438" t="s">
        <v>2580</v>
      </c>
      <c r="C75" s="440" t="s">
        <v>2596</v>
      </c>
      <c r="D75" s="639" t="s">
        <v>2597</v>
      </c>
      <c r="E75" s="640" t="s">
        <v>2598</v>
      </c>
      <c r="F75" s="435" t="s">
        <v>2434</v>
      </c>
      <c r="G75" s="435" t="s">
        <v>1198</v>
      </c>
      <c r="H75" s="436" t="s">
        <v>2762</v>
      </c>
      <c r="I75" s="641">
        <v>172140</v>
      </c>
      <c r="J75" s="641">
        <v>0</v>
      </c>
      <c r="K75" s="641">
        <v>0</v>
      </c>
      <c r="L75" s="641">
        <v>8607</v>
      </c>
      <c r="M75" s="641">
        <v>8607</v>
      </c>
      <c r="N75" s="642"/>
      <c r="O75" s="641">
        <f>+I75-(SUM(J75:N75))</f>
        <v>154926</v>
      </c>
    </row>
    <row r="76" spans="1:15" s="441" customFormat="1" ht="150" x14ac:dyDescent="0.2">
      <c r="A76" s="439">
        <v>17</v>
      </c>
      <c r="B76" s="438" t="s">
        <v>2607</v>
      </c>
      <c r="C76" s="645" t="s">
        <v>2620</v>
      </c>
      <c r="D76" s="639" t="s">
        <v>2621</v>
      </c>
      <c r="E76" s="640" t="s">
        <v>2622</v>
      </c>
      <c r="F76" s="435" t="s">
        <v>2434</v>
      </c>
      <c r="G76" s="435" t="s">
        <v>1144</v>
      </c>
      <c r="H76" s="436" t="s">
        <v>2763</v>
      </c>
      <c r="I76" s="641">
        <v>199500</v>
      </c>
      <c r="J76" s="641">
        <v>0</v>
      </c>
      <c r="K76" s="641">
        <v>0</v>
      </c>
      <c r="L76" s="641">
        <v>9975</v>
      </c>
      <c r="M76" s="641">
        <v>9975</v>
      </c>
      <c r="N76" s="642"/>
      <c r="O76" s="641">
        <f>+I76-(SUM(J76:N76))</f>
        <v>179550</v>
      </c>
    </row>
    <row r="77" spans="1:15" s="441" customFormat="1" ht="150" x14ac:dyDescent="0.2">
      <c r="A77" s="439">
        <v>18</v>
      </c>
      <c r="B77" s="438" t="s">
        <v>2607</v>
      </c>
      <c r="C77" s="440" t="s">
        <v>2623</v>
      </c>
      <c r="D77" s="639" t="s">
        <v>2624</v>
      </c>
      <c r="E77" s="640" t="s">
        <v>2142</v>
      </c>
      <c r="F77" s="435" t="s">
        <v>2434</v>
      </c>
      <c r="G77" s="435" t="s">
        <v>1144</v>
      </c>
      <c r="H77" s="436" t="s">
        <v>2764</v>
      </c>
      <c r="I77" s="641">
        <v>185250</v>
      </c>
      <c r="J77" s="641">
        <v>0</v>
      </c>
      <c r="K77" s="641">
        <v>0</v>
      </c>
      <c r="L77" s="641">
        <v>9262.5</v>
      </c>
      <c r="M77" s="641">
        <v>9262.5</v>
      </c>
      <c r="N77" s="642"/>
      <c r="O77" s="641">
        <f>+I77-(SUM(J77:N77))</f>
        <v>166725</v>
      </c>
    </row>
    <row r="78" spans="1:15" s="441" customFormat="1" ht="131.25" x14ac:dyDescent="0.2">
      <c r="A78" s="439">
        <v>19</v>
      </c>
      <c r="B78" s="438" t="s">
        <v>2607</v>
      </c>
      <c r="C78" s="440" t="s">
        <v>2625</v>
      </c>
      <c r="D78" s="639" t="s">
        <v>2626</v>
      </c>
      <c r="E78" s="640" t="s">
        <v>2627</v>
      </c>
      <c r="F78" s="435" t="s">
        <v>2434</v>
      </c>
      <c r="G78" s="435" t="s">
        <v>1144</v>
      </c>
      <c r="H78" s="436" t="s">
        <v>2765</v>
      </c>
      <c r="I78" s="641">
        <v>199500</v>
      </c>
      <c r="J78" s="641">
        <v>0</v>
      </c>
      <c r="K78" s="641">
        <v>0</v>
      </c>
      <c r="L78" s="641">
        <v>9975</v>
      </c>
      <c r="M78" s="641">
        <v>9975</v>
      </c>
      <c r="N78" s="642"/>
      <c r="O78" s="641">
        <f>+I78-(SUM(J78:N78))</f>
        <v>179550</v>
      </c>
    </row>
    <row r="79" spans="1:15" s="441" customFormat="1" ht="93.75" x14ac:dyDescent="0.2">
      <c r="A79" s="439">
        <v>20</v>
      </c>
      <c r="B79" s="438">
        <v>243741</v>
      </c>
      <c r="C79" s="440" t="s">
        <v>2640</v>
      </c>
      <c r="D79" s="639" t="s">
        <v>2641</v>
      </c>
      <c r="E79" s="640" t="s">
        <v>2135</v>
      </c>
      <c r="F79" s="435" t="s">
        <v>2434</v>
      </c>
      <c r="G79" s="435" t="s">
        <v>1198</v>
      </c>
      <c r="H79" s="436" t="s">
        <v>2766</v>
      </c>
      <c r="I79" s="641">
        <v>128250</v>
      </c>
      <c r="J79" s="641">
        <v>0</v>
      </c>
      <c r="K79" s="641">
        <v>0</v>
      </c>
      <c r="L79" s="641">
        <v>6412.5</v>
      </c>
      <c r="M79" s="641">
        <v>6412.5</v>
      </c>
      <c r="N79" s="642"/>
      <c r="O79" s="641">
        <f>+I79-(SUM(J79:N79))</f>
        <v>115425</v>
      </c>
    </row>
    <row r="80" spans="1:15" s="441" customFormat="1" ht="112.5" x14ac:dyDescent="0.2">
      <c r="A80" s="439">
        <v>21</v>
      </c>
      <c r="B80" s="438">
        <v>243747</v>
      </c>
      <c r="C80" s="440" t="s">
        <v>2642</v>
      </c>
      <c r="D80" s="639" t="s">
        <v>2643</v>
      </c>
      <c r="E80" s="640" t="s">
        <v>2142</v>
      </c>
      <c r="F80" s="435" t="s">
        <v>2434</v>
      </c>
      <c r="G80" s="435" t="s">
        <v>1198</v>
      </c>
      <c r="H80" s="436" t="s">
        <v>2767</v>
      </c>
      <c r="I80" s="641">
        <v>110200</v>
      </c>
      <c r="J80" s="641">
        <v>0</v>
      </c>
      <c r="K80" s="641">
        <v>0</v>
      </c>
      <c r="L80" s="641">
        <v>5510</v>
      </c>
      <c r="M80" s="641">
        <v>5510</v>
      </c>
      <c r="N80" s="642"/>
      <c r="O80" s="641">
        <f>+I80-(SUM(J80:N80))</f>
        <v>99180</v>
      </c>
    </row>
    <row r="81" spans="1:16" s="441" customFormat="1" ht="131.25" x14ac:dyDescent="0.2">
      <c r="A81" s="439">
        <v>22</v>
      </c>
      <c r="B81" s="438">
        <v>243753</v>
      </c>
      <c r="C81" s="440" t="s">
        <v>2644</v>
      </c>
      <c r="D81" s="639" t="s">
        <v>2645</v>
      </c>
      <c r="E81" s="640" t="s">
        <v>1180</v>
      </c>
      <c r="F81" s="435" t="s">
        <v>2434</v>
      </c>
      <c r="G81" s="435" t="s">
        <v>1264</v>
      </c>
      <c r="H81" s="436" t="s">
        <v>2768</v>
      </c>
      <c r="I81" s="641">
        <v>20000</v>
      </c>
      <c r="J81" s="641">
        <v>1000</v>
      </c>
      <c r="K81" s="641">
        <v>1000</v>
      </c>
      <c r="L81" s="641">
        <v>0</v>
      </c>
      <c r="M81" s="641">
        <v>0</v>
      </c>
      <c r="N81" s="642"/>
      <c r="O81" s="641">
        <f>+I81-(SUM(J81:N81))</f>
        <v>18000</v>
      </c>
    </row>
    <row r="82" spans="1:16" s="441" customFormat="1" ht="75" x14ac:dyDescent="0.2">
      <c r="A82" s="439">
        <v>23</v>
      </c>
      <c r="B82" s="438">
        <v>243758</v>
      </c>
      <c r="C82" s="440" t="s">
        <v>2646</v>
      </c>
      <c r="D82" s="639" t="s">
        <v>2647</v>
      </c>
      <c r="E82" s="640" t="s">
        <v>2648</v>
      </c>
      <c r="F82" s="435" t="s">
        <v>2434</v>
      </c>
      <c r="G82" s="435" t="s">
        <v>2649</v>
      </c>
      <c r="H82" s="436" t="s">
        <v>2769</v>
      </c>
      <c r="I82" s="641">
        <v>981000</v>
      </c>
      <c r="J82" s="641">
        <v>78480</v>
      </c>
      <c r="K82" s="641">
        <v>78480</v>
      </c>
      <c r="L82" s="641">
        <v>0</v>
      </c>
      <c r="M82" s="641">
        <v>0</v>
      </c>
      <c r="N82" s="642"/>
      <c r="O82" s="641">
        <f>+I82-(SUM(J82:N82))</f>
        <v>824040</v>
      </c>
    </row>
    <row r="83" spans="1:16" s="441" customFormat="1" ht="112.5" x14ac:dyDescent="0.2">
      <c r="A83" s="439">
        <v>24</v>
      </c>
      <c r="B83" s="438">
        <v>243773</v>
      </c>
      <c r="C83" s="440" t="s">
        <v>2666</v>
      </c>
      <c r="D83" s="639" t="s">
        <v>2667</v>
      </c>
      <c r="E83" s="640" t="s">
        <v>2142</v>
      </c>
      <c r="F83" s="435" t="s">
        <v>2434</v>
      </c>
      <c r="G83" s="435" t="s">
        <v>1144</v>
      </c>
      <c r="H83" s="436" t="s">
        <v>2746</v>
      </c>
      <c r="I83" s="641">
        <v>355110</v>
      </c>
      <c r="J83" s="641">
        <v>0</v>
      </c>
      <c r="K83" s="641">
        <v>0</v>
      </c>
      <c r="L83" s="641">
        <v>17755.5</v>
      </c>
      <c r="M83" s="641">
        <v>17755.5</v>
      </c>
      <c r="N83" s="642"/>
      <c r="O83" s="641">
        <f>+I83-(SUM(J83:N83))</f>
        <v>319599</v>
      </c>
    </row>
    <row r="84" spans="1:16" s="441" customFormat="1" ht="112.5" x14ac:dyDescent="0.2">
      <c r="A84" s="439">
        <v>25</v>
      </c>
      <c r="B84" s="438">
        <v>243773</v>
      </c>
      <c r="C84" s="440" t="s">
        <v>2668</v>
      </c>
      <c r="D84" s="639" t="s">
        <v>2669</v>
      </c>
      <c r="E84" s="640" t="s">
        <v>2670</v>
      </c>
      <c r="F84" s="435" t="s">
        <v>2434</v>
      </c>
      <c r="G84" s="435" t="s">
        <v>2671</v>
      </c>
      <c r="H84" s="436" t="s">
        <v>2770</v>
      </c>
      <c r="I84" s="641">
        <v>178635.6</v>
      </c>
      <c r="J84" s="641">
        <v>14290.848</v>
      </c>
      <c r="K84" s="641">
        <v>14290.848</v>
      </c>
      <c r="L84" s="641">
        <v>0</v>
      </c>
      <c r="M84" s="641">
        <v>0</v>
      </c>
      <c r="N84" s="642"/>
      <c r="O84" s="641">
        <f>+I84-(SUM(J84:N84))</f>
        <v>150053.90400000001</v>
      </c>
    </row>
    <row r="85" spans="1:16" s="441" customFormat="1" ht="168.75" x14ac:dyDescent="0.2">
      <c r="A85" s="439">
        <v>26</v>
      </c>
      <c r="B85" s="438">
        <v>243788</v>
      </c>
      <c r="C85" s="440" t="s">
        <v>2672</v>
      </c>
      <c r="D85" s="639" t="s">
        <v>2673</v>
      </c>
      <c r="E85" s="640" t="s">
        <v>2598</v>
      </c>
      <c r="F85" s="435" t="s">
        <v>2434</v>
      </c>
      <c r="G85" s="435" t="s">
        <v>1198</v>
      </c>
      <c r="H85" s="436" t="s">
        <v>2771</v>
      </c>
      <c r="I85" s="641">
        <v>229520</v>
      </c>
      <c r="J85" s="641">
        <v>0</v>
      </c>
      <c r="K85" s="641">
        <v>0</v>
      </c>
      <c r="L85" s="641">
        <v>11476</v>
      </c>
      <c r="M85" s="641">
        <v>11476</v>
      </c>
      <c r="N85" s="642"/>
      <c r="O85" s="641">
        <f>+I85-(SUM(J85:N85))</f>
        <v>206568</v>
      </c>
    </row>
    <row r="86" spans="1:16" ht="112.5" x14ac:dyDescent="0.4">
      <c r="A86" s="439">
        <v>27</v>
      </c>
      <c r="B86" s="438">
        <v>243788</v>
      </c>
      <c r="C86" s="440" t="s">
        <v>2674</v>
      </c>
      <c r="D86" s="639" t="s">
        <v>2675</v>
      </c>
      <c r="E86" s="640" t="s">
        <v>2142</v>
      </c>
      <c r="F86" s="435" t="s">
        <v>2434</v>
      </c>
      <c r="G86" s="435" t="s">
        <v>1198</v>
      </c>
      <c r="H86" s="436" t="s">
        <v>2772</v>
      </c>
      <c r="I86" s="641">
        <v>29000</v>
      </c>
      <c r="J86" s="641">
        <v>0</v>
      </c>
      <c r="K86" s="641">
        <v>0</v>
      </c>
      <c r="L86" s="641">
        <v>1450</v>
      </c>
      <c r="M86" s="641">
        <v>1450</v>
      </c>
      <c r="N86" s="642"/>
      <c r="O86" s="641">
        <f>+I86-(SUM(J86:N86))</f>
        <v>26100</v>
      </c>
      <c r="P86" s="441"/>
    </row>
    <row r="87" spans="1:16" s="441" customFormat="1" ht="168.75" x14ac:dyDescent="0.2">
      <c r="A87" s="439">
        <v>28</v>
      </c>
      <c r="B87" s="438" t="s">
        <v>2703</v>
      </c>
      <c r="C87" s="440" t="s">
        <v>2773</v>
      </c>
      <c r="D87" s="639" t="s">
        <v>2774</v>
      </c>
      <c r="E87" s="640" t="s">
        <v>2775</v>
      </c>
      <c r="F87" s="435" t="s">
        <v>2434</v>
      </c>
      <c r="G87" s="435" t="s">
        <v>2776</v>
      </c>
      <c r="H87" s="436" t="s">
        <v>2777</v>
      </c>
      <c r="I87" s="641">
        <v>10000</v>
      </c>
      <c r="J87" s="641">
        <v>500</v>
      </c>
      <c r="K87" s="641">
        <v>500</v>
      </c>
      <c r="L87" s="641">
        <v>0</v>
      </c>
      <c r="M87" s="641">
        <v>0</v>
      </c>
      <c r="N87" s="642"/>
      <c r="O87" s="641">
        <f>+I87-(SUM(J87:N87))</f>
        <v>9000</v>
      </c>
    </row>
    <row r="88" spans="1:16" s="441" customFormat="1" ht="112.5" x14ac:dyDescent="0.2">
      <c r="A88" s="439">
        <v>29</v>
      </c>
      <c r="B88" s="438" t="s">
        <v>2703</v>
      </c>
      <c r="C88" s="440" t="s">
        <v>2708</v>
      </c>
      <c r="D88" s="639" t="s">
        <v>2709</v>
      </c>
      <c r="E88" s="640" t="s">
        <v>1894</v>
      </c>
      <c r="F88" s="435" t="s">
        <v>2434</v>
      </c>
      <c r="G88" s="435" t="s">
        <v>1763</v>
      </c>
      <c r="H88" s="436" t="s">
        <v>2745</v>
      </c>
      <c r="I88" s="641">
        <v>187500</v>
      </c>
      <c r="J88" s="641">
        <v>0</v>
      </c>
      <c r="K88" s="641">
        <v>0</v>
      </c>
      <c r="L88" s="641">
        <v>0</v>
      </c>
      <c r="M88" s="641">
        <v>127500</v>
      </c>
      <c r="N88" s="642"/>
      <c r="O88" s="641">
        <f>+I88-(SUM(J88:N88))</f>
        <v>60000</v>
      </c>
    </row>
    <row r="89" spans="1:16" s="441" customFormat="1" ht="131.25" x14ac:dyDescent="0.2">
      <c r="A89" s="439">
        <v>30</v>
      </c>
      <c r="B89" s="438" t="s">
        <v>2778</v>
      </c>
      <c r="C89" s="440" t="s">
        <v>2779</v>
      </c>
      <c r="D89" s="639" t="s">
        <v>2780</v>
      </c>
      <c r="E89" s="640" t="s">
        <v>2670</v>
      </c>
      <c r="F89" s="435" t="s">
        <v>2434</v>
      </c>
      <c r="G89" s="435" t="s">
        <v>2781</v>
      </c>
      <c r="H89" s="436" t="s">
        <v>2782</v>
      </c>
      <c r="I89" s="641">
        <v>1000000</v>
      </c>
      <c r="J89" s="641">
        <v>80000</v>
      </c>
      <c r="K89" s="641">
        <v>80000</v>
      </c>
      <c r="L89" s="641">
        <v>0</v>
      </c>
      <c r="M89" s="641">
        <v>0</v>
      </c>
      <c r="N89" s="642"/>
      <c r="O89" s="641">
        <f>+I89-(SUM(J89:N89))</f>
        <v>840000</v>
      </c>
    </row>
    <row r="90" spans="1:16" s="441" customFormat="1" ht="131.25" x14ac:dyDescent="0.2">
      <c r="A90" s="439">
        <v>31</v>
      </c>
      <c r="B90" s="438" t="s">
        <v>2819</v>
      </c>
      <c r="C90" s="440" t="s">
        <v>2858</v>
      </c>
      <c r="D90" s="639" t="s">
        <v>2859</v>
      </c>
      <c r="E90" s="640" t="s">
        <v>2627</v>
      </c>
      <c r="F90" s="435" t="s">
        <v>2434</v>
      </c>
      <c r="G90" s="435" t="s">
        <v>1144</v>
      </c>
      <c r="H90" s="436" t="s">
        <v>2860</v>
      </c>
      <c r="I90" s="641">
        <v>266000</v>
      </c>
      <c r="J90" s="641">
        <v>0</v>
      </c>
      <c r="K90" s="641">
        <v>0</v>
      </c>
      <c r="L90" s="641">
        <v>13300</v>
      </c>
      <c r="M90" s="641">
        <v>13300</v>
      </c>
      <c r="N90" s="642"/>
      <c r="O90" s="641">
        <f>+I90-(SUM(J90:N90))</f>
        <v>239400</v>
      </c>
    </row>
    <row r="91" spans="1:16" s="441" customFormat="1" ht="150" x14ac:dyDescent="0.2">
      <c r="A91" s="439">
        <v>32</v>
      </c>
      <c r="B91" s="438" t="s">
        <v>2819</v>
      </c>
      <c r="C91" s="440" t="s">
        <v>2820</v>
      </c>
      <c r="D91" s="639" t="s">
        <v>2821</v>
      </c>
      <c r="E91" s="640" t="s">
        <v>2861</v>
      </c>
      <c r="F91" s="435" t="s">
        <v>2434</v>
      </c>
      <c r="G91" s="435" t="s">
        <v>1763</v>
      </c>
      <c r="H91" s="436" t="s">
        <v>2862</v>
      </c>
      <c r="I91" s="641">
        <v>1741950</v>
      </c>
      <c r="J91" s="641">
        <v>0</v>
      </c>
      <c r="K91" s="641">
        <v>0</v>
      </c>
      <c r="L91" s="641">
        <v>0</v>
      </c>
      <c r="M91" s="641">
        <v>0</v>
      </c>
      <c r="N91" s="642" t="s">
        <v>1786</v>
      </c>
      <c r="O91" s="641">
        <f>+I91-(SUM(J91:N91))</f>
        <v>1741950</v>
      </c>
    </row>
    <row r="92" spans="1:16" s="441" customFormat="1" ht="168.75" x14ac:dyDescent="0.2">
      <c r="A92" s="439">
        <v>33</v>
      </c>
      <c r="B92" s="438" t="s">
        <v>2863</v>
      </c>
      <c r="C92" s="440" t="s">
        <v>2864</v>
      </c>
      <c r="D92" s="639" t="s">
        <v>2865</v>
      </c>
      <c r="E92" s="640" t="s">
        <v>1722</v>
      </c>
      <c r="F92" s="435" t="s">
        <v>2434</v>
      </c>
      <c r="G92" s="435" t="s">
        <v>2461</v>
      </c>
      <c r="H92" s="436" t="s">
        <v>2866</v>
      </c>
      <c r="I92" s="641">
        <v>60000</v>
      </c>
      <c r="J92" s="641">
        <v>3000</v>
      </c>
      <c r="K92" s="641">
        <v>3000</v>
      </c>
      <c r="L92" s="641">
        <v>0</v>
      </c>
      <c r="M92" s="641">
        <v>0</v>
      </c>
      <c r="N92" s="642"/>
      <c r="O92" s="641">
        <f>+I92-(SUM(J92:N92))</f>
        <v>54000</v>
      </c>
    </row>
    <row r="93" spans="1:16" s="441" customFormat="1" ht="93.75" x14ac:dyDescent="0.2">
      <c r="A93" s="439">
        <v>34</v>
      </c>
      <c r="B93" s="438" t="s">
        <v>2863</v>
      </c>
      <c r="C93" s="440" t="s">
        <v>2867</v>
      </c>
      <c r="D93" s="639" t="s">
        <v>2868</v>
      </c>
      <c r="E93" s="640" t="s">
        <v>2135</v>
      </c>
      <c r="F93" s="435" t="s">
        <v>2434</v>
      </c>
      <c r="G93" s="435" t="s">
        <v>1198</v>
      </c>
      <c r="H93" s="436" t="s">
        <v>2869</v>
      </c>
      <c r="I93" s="641">
        <v>85500</v>
      </c>
      <c r="J93" s="641">
        <v>0</v>
      </c>
      <c r="K93" s="641">
        <v>0</v>
      </c>
      <c r="L93" s="641">
        <v>4275</v>
      </c>
      <c r="M93" s="641">
        <v>4275</v>
      </c>
      <c r="N93" s="642"/>
      <c r="O93" s="641">
        <f>+I93-(SUM(J93:N93))</f>
        <v>76950</v>
      </c>
    </row>
    <row r="94" spans="1:16" s="441" customFormat="1" ht="150" x14ac:dyDescent="0.2">
      <c r="A94" s="439">
        <v>35</v>
      </c>
      <c r="B94" s="438" t="s">
        <v>2870</v>
      </c>
      <c r="C94" s="440" t="s">
        <v>2871</v>
      </c>
      <c r="D94" s="639" t="s">
        <v>2872</v>
      </c>
      <c r="E94" s="640" t="s">
        <v>2622</v>
      </c>
      <c r="F94" s="435" t="s">
        <v>2434</v>
      </c>
      <c r="G94" s="435" t="s">
        <v>1144</v>
      </c>
      <c r="H94" s="436" t="s">
        <v>2873</v>
      </c>
      <c r="I94" s="641">
        <v>266000</v>
      </c>
      <c r="J94" s="641">
        <v>0</v>
      </c>
      <c r="K94" s="641">
        <v>0</v>
      </c>
      <c r="L94" s="641">
        <v>13300</v>
      </c>
      <c r="M94" s="641">
        <v>13300</v>
      </c>
      <c r="N94" s="642"/>
      <c r="O94" s="641">
        <f>+I94-(SUM(J94:N94))</f>
        <v>239400</v>
      </c>
    </row>
    <row r="95" spans="1:16" s="441" customFormat="1" ht="150" x14ac:dyDescent="0.2">
      <c r="A95" s="439">
        <v>36</v>
      </c>
      <c r="B95" s="438" t="s">
        <v>2836</v>
      </c>
      <c r="C95" s="440" t="s">
        <v>2874</v>
      </c>
      <c r="D95" s="639" t="s">
        <v>2875</v>
      </c>
      <c r="E95" s="640" t="s">
        <v>1884</v>
      </c>
      <c r="F95" s="435" t="s">
        <v>2434</v>
      </c>
      <c r="G95" s="435" t="s">
        <v>2876</v>
      </c>
      <c r="H95" s="436" t="s">
        <v>2877</v>
      </c>
      <c r="I95" s="641">
        <v>416550</v>
      </c>
      <c r="J95" s="641">
        <v>0</v>
      </c>
      <c r="K95" s="641">
        <v>0</v>
      </c>
      <c r="L95" s="641">
        <v>0</v>
      </c>
      <c r="M95" s="641">
        <v>0</v>
      </c>
      <c r="N95" s="642" t="s">
        <v>1786</v>
      </c>
      <c r="O95" s="641">
        <f>+I95-(SUM(J95:N95))</f>
        <v>416550</v>
      </c>
    </row>
    <row r="96" spans="1:16" s="441" customFormat="1" ht="93.75" x14ac:dyDescent="0.2">
      <c r="A96" s="439">
        <v>37</v>
      </c>
      <c r="B96" s="438" t="s">
        <v>2828</v>
      </c>
      <c r="C96" s="440" t="s">
        <v>2878</v>
      </c>
      <c r="D96" s="639" t="s">
        <v>2879</v>
      </c>
      <c r="E96" s="640" t="s">
        <v>2177</v>
      </c>
      <c r="F96" s="435" t="s">
        <v>2434</v>
      </c>
      <c r="G96" s="435" t="s">
        <v>1198</v>
      </c>
      <c r="H96" s="436" t="s">
        <v>2880</v>
      </c>
      <c r="I96" s="641">
        <v>193500</v>
      </c>
      <c r="J96" s="641">
        <v>0</v>
      </c>
      <c r="K96" s="641">
        <v>0</v>
      </c>
      <c r="L96" s="641">
        <v>7375</v>
      </c>
      <c r="M96" s="641">
        <v>7375</v>
      </c>
      <c r="N96" s="642"/>
      <c r="O96" s="641">
        <f>+I96-(SUM(J96:N96))</f>
        <v>178750</v>
      </c>
    </row>
    <row r="97" spans="1:15" s="441" customFormat="1" x14ac:dyDescent="0.2">
      <c r="A97" s="388" t="s">
        <v>1229</v>
      </c>
      <c r="B97" s="389"/>
      <c r="C97" s="390"/>
      <c r="D97" s="637"/>
      <c r="E97" s="388"/>
      <c r="F97" s="391"/>
      <c r="G97" s="391"/>
      <c r="H97" s="392"/>
      <c r="I97" s="393">
        <f>SUM(I98:I101)</f>
        <v>535763</v>
      </c>
      <c r="J97" s="393">
        <f t="shared" ref="J97:O97" si="6">SUM(J98:J101)</f>
        <v>88000</v>
      </c>
      <c r="K97" s="393">
        <f t="shared" si="6"/>
        <v>88000</v>
      </c>
      <c r="L97" s="393">
        <f t="shared" si="6"/>
        <v>8407.5</v>
      </c>
      <c r="M97" s="393">
        <f t="shared" si="6"/>
        <v>8407.5</v>
      </c>
      <c r="N97" s="393"/>
      <c r="O97" s="393">
        <f t="shared" si="6"/>
        <v>342948</v>
      </c>
    </row>
    <row r="98" spans="1:15" s="441" customFormat="1" ht="93.75" x14ac:dyDescent="0.2">
      <c r="A98" s="439">
        <v>1</v>
      </c>
      <c r="B98" s="438" t="s">
        <v>2566</v>
      </c>
      <c r="C98" s="440" t="s">
        <v>2567</v>
      </c>
      <c r="D98" s="639" t="s">
        <v>2568</v>
      </c>
      <c r="E98" s="640" t="s">
        <v>1885</v>
      </c>
      <c r="F98" s="435" t="s">
        <v>1229</v>
      </c>
      <c r="G98" s="435" t="s">
        <v>1198</v>
      </c>
      <c r="H98" s="436" t="s">
        <v>2783</v>
      </c>
      <c r="I98" s="641">
        <v>168150</v>
      </c>
      <c r="J98" s="641">
        <v>0</v>
      </c>
      <c r="K98" s="641">
        <v>0</v>
      </c>
      <c r="L98" s="641">
        <v>8407.5</v>
      </c>
      <c r="M98" s="641">
        <v>8407.5</v>
      </c>
      <c r="N98" s="642"/>
      <c r="O98" s="641">
        <f>+I98-(SUM(J98:N98))</f>
        <v>151335</v>
      </c>
    </row>
    <row r="99" spans="1:15" s="441" customFormat="1" ht="150" x14ac:dyDescent="0.2">
      <c r="A99" s="439">
        <v>2</v>
      </c>
      <c r="B99" s="438" t="s">
        <v>2591</v>
      </c>
      <c r="C99" s="440" t="s">
        <v>2592</v>
      </c>
      <c r="D99" s="639" t="s">
        <v>2593</v>
      </c>
      <c r="E99" s="640" t="s">
        <v>1885</v>
      </c>
      <c r="F99" s="435" t="s">
        <v>1229</v>
      </c>
      <c r="G99" s="435" t="s">
        <v>930</v>
      </c>
      <c r="H99" s="436" t="s">
        <v>2784</v>
      </c>
      <c r="I99" s="641">
        <v>266306</v>
      </c>
      <c r="J99" s="641">
        <v>87500</v>
      </c>
      <c r="K99" s="641">
        <v>87500</v>
      </c>
      <c r="L99" s="641">
        <v>0</v>
      </c>
      <c r="M99" s="641">
        <v>0</v>
      </c>
      <c r="N99" s="642"/>
      <c r="O99" s="641">
        <f>+I99-(SUM(J99:N99))</f>
        <v>91306</v>
      </c>
    </row>
    <row r="100" spans="1:15" s="441" customFormat="1" ht="168.75" x14ac:dyDescent="0.2">
      <c r="A100" s="439">
        <v>3</v>
      </c>
      <c r="B100" s="438" t="s">
        <v>2591</v>
      </c>
      <c r="C100" s="440" t="s">
        <v>2592</v>
      </c>
      <c r="D100" s="639" t="s">
        <v>2593</v>
      </c>
      <c r="E100" s="640" t="s">
        <v>1886</v>
      </c>
      <c r="F100" s="435" t="s">
        <v>1229</v>
      </c>
      <c r="G100" s="435" t="s">
        <v>2154</v>
      </c>
      <c r="H100" s="436" t="s">
        <v>2785</v>
      </c>
      <c r="I100" s="641">
        <v>91307</v>
      </c>
      <c r="J100" s="641">
        <v>0</v>
      </c>
      <c r="K100" s="641">
        <v>0</v>
      </c>
      <c r="L100" s="641">
        <v>0</v>
      </c>
      <c r="M100" s="641">
        <v>0</v>
      </c>
      <c r="N100" s="642" t="s">
        <v>1631</v>
      </c>
      <c r="O100" s="641">
        <f>+I100-(SUM(J100:N100))</f>
        <v>91307</v>
      </c>
    </row>
    <row r="101" spans="1:15" s="441" customFormat="1" ht="168.75" x14ac:dyDescent="0.2">
      <c r="A101" s="439">
        <v>4</v>
      </c>
      <c r="B101" s="438" t="s">
        <v>2703</v>
      </c>
      <c r="C101" s="440" t="s">
        <v>2786</v>
      </c>
      <c r="D101" s="639" t="s">
        <v>2787</v>
      </c>
      <c r="E101" s="640" t="s">
        <v>1891</v>
      </c>
      <c r="F101" s="435" t="s">
        <v>1229</v>
      </c>
      <c r="G101" s="435" t="s">
        <v>2788</v>
      </c>
      <c r="H101" s="436" t="s">
        <v>2789</v>
      </c>
      <c r="I101" s="641">
        <v>10000</v>
      </c>
      <c r="J101" s="641">
        <v>500</v>
      </c>
      <c r="K101" s="641">
        <v>500</v>
      </c>
      <c r="L101" s="641">
        <v>0</v>
      </c>
      <c r="M101" s="641">
        <v>0</v>
      </c>
      <c r="N101" s="642"/>
      <c r="O101" s="641">
        <f>+I101-(SUM(J101:N101))</f>
        <v>9000</v>
      </c>
    </row>
    <row r="102" spans="1:15" s="441" customFormat="1" x14ac:dyDescent="0.2">
      <c r="A102" s="388" t="s">
        <v>19</v>
      </c>
      <c r="B102" s="389"/>
      <c r="C102" s="390"/>
      <c r="D102" s="637"/>
      <c r="E102" s="388"/>
      <c r="F102" s="391"/>
      <c r="G102" s="391"/>
      <c r="H102" s="392"/>
      <c r="I102" s="393">
        <f>SUM(I103:I113)</f>
        <v>3157400</v>
      </c>
      <c r="J102" s="393">
        <f t="shared" ref="J102:M102" si="7">SUM(J103:J113)</f>
        <v>13500</v>
      </c>
      <c r="K102" s="393">
        <f t="shared" si="7"/>
        <v>13500</v>
      </c>
      <c r="L102" s="393">
        <f t="shared" si="7"/>
        <v>49950</v>
      </c>
      <c r="M102" s="393">
        <f t="shared" si="7"/>
        <v>49950</v>
      </c>
      <c r="N102" s="393"/>
      <c r="O102" s="393">
        <f>SUM(O103:O113)</f>
        <v>3030500</v>
      </c>
    </row>
    <row r="103" spans="1:15" s="441" customFormat="1" ht="112.5" x14ac:dyDescent="0.2">
      <c r="A103" s="439">
        <v>1</v>
      </c>
      <c r="B103" s="438" t="s">
        <v>2443</v>
      </c>
      <c r="C103" s="440" t="s">
        <v>2550</v>
      </c>
      <c r="D103" s="639" t="s">
        <v>2454</v>
      </c>
      <c r="E103" s="640" t="s">
        <v>2138</v>
      </c>
      <c r="F103" s="435" t="s">
        <v>19</v>
      </c>
      <c r="G103" s="435" t="s">
        <v>1198</v>
      </c>
      <c r="H103" s="436" t="s">
        <v>2790</v>
      </c>
      <c r="I103" s="641">
        <v>171000</v>
      </c>
      <c r="J103" s="641">
        <v>0</v>
      </c>
      <c r="K103" s="641">
        <v>0</v>
      </c>
      <c r="L103" s="641">
        <v>8550</v>
      </c>
      <c r="M103" s="641">
        <v>8550</v>
      </c>
      <c r="N103" s="644"/>
      <c r="O103" s="641">
        <f>+I103-(SUM(J103:N103))</f>
        <v>153900</v>
      </c>
    </row>
    <row r="104" spans="1:15" s="441" customFormat="1" ht="112.5" x14ac:dyDescent="0.2">
      <c r="A104" s="439">
        <v>2</v>
      </c>
      <c r="B104" s="438" t="s">
        <v>2559</v>
      </c>
      <c r="C104" s="440" t="s">
        <v>2569</v>
      </c>
      <c r="D104" s="639" t="s">
        <v>2570</v>
      </c>
      <c r="E104" s="640" t="s">
        <v>2138</v>
      </c>
      <c r="F104" s="435" t="s">
        <v>19</v>
      </c>
      <c r="G104" s="435" t="s">
        <v>1198</v>
      </c>
      <c r="H104" s="436" t="s">
        <v>2791</v>
      </c>
      <c r="I104" s="641">
        <v>114000</v>
      </c>
      <c r="J104" s="641">
        <v>0</v>
      </c>
      <c r="K104" s="641">
        <v>0</v>
      </c>
      <c r="L104" s="641">
        <v>5700</v>
      </c>
      <c r="M104" s="641">
        <v>5700</v>
      </c>
      <c r="N104" s="644"/>
      <c r="O104" s="641">
        <f>+I104-(SUM(J104:N104))</f>
        <v>102600</v>
      </c>
    </row>
    <row r="105" spans="1:15" s="441" customFormat="1" ht="93.75" x14ac:dyDescent="0.2">
      <c r="A105" s="439">
        <v>3</v>
      </c>
      <c r="B105" s="438" t="s">
        <v>2599</v>
      </c>
      <c r="C105" s="440" t="s">
        <v>2600</v>
      </c>
      <c r="D105" s="639" t="s">
        <v>2601</v>
      </c>
      <c r="E105" s="640" t="s">
        <v>2602</v>
      </c>
      <c r="F105" s="435" t="s">
        <v>19</v>
      </c>
      <c r="G105" s="435" t="s">
        <v>2603</v>
      </c>
      <c r="H105" s="436" t="s">
        <v>2792</v>
      </c>
      <c r="I105" s="641">
        <v>150000</v>
      </c>
      <c r="J105" s="641">
        <v>7500</v>
      </c>
      <c r="K105" s="641">
        <v>7500</v>
      </c>
      <c r="L105" s="641">
        <v>0</v>
      </c>
      <c r="M105" s="641">
        <v>0</v>
      </c>
      <c r="N105" s="644"/>
      <c r="O105" s="641">
        <f>+I105-(SUM(J105:N105))</f>
        <v>135000</v>
      </c>
    </row>
    <row r="106" spans="1:15" s="441" customFormat="1" ht="187.5" x14ac:dyDescent="0.2">
      <c r="A106" s="439">
        <v>4</v>
      </c>
      <c r="B106" s="438" t="s">
        <v>2628</v>
      </c>
      <c r="C106" s="440" t="s">
        <v>2629</v>
      </c>
      <c r="D106" s="639" t="s">
        <v>2630</v>
      </c>
      <c r="E106" s="640" t="s">
        <v>2631</v>
      </c>
      <c r="F106" s="435" t="s">
        <v>19</v>
      </c>
      <c r="G106" s="435" t="s">
        <v>1198</v>
      </c>
      <c r="H106" s="436" t="s">
        <v>2793</v>
      </c>
      <c r="I106" s="641">
        <v>285000</v>
      </c>
      <c r="J106" s="641">
        <v>0</v>
      </c>
      <c r="K106" s="641">
        <v>0</v>
      </c>
      <c r="L106" s="641">
        <v>14250</v>
      </c>
      <c r="M106" s="641">
        <v>14250</v>
      </c>
      <c r="N106" s="642"/>
      <c r="O106" s="641">
        <f>+I106-(SUM(J106:N106))</f>
        <v>256500</v>
      </c>
    </row>
    <row r="107" spans="1:15" s="441" customFormat="1" ht="225" x14ac:dyDescent="0.2">
      <c r="A107" s="439">
        <v>5</v>
      </c>
      <c r="B107" s="438">
        <v>243747</v>
      </c>
      <c r="C107" s="440" t="s">
        <v>2650</v>
      </c>
      <c r="D107" s="639" t="s">
        <v>2651</v>
      </c>
      <c r="E107" s="640" t="s">
        <v>2194</v>
      </c>
      <c r="F107" s="435" t="s">
        <v>19</v>
      </c>
      <c r="G107" s="435" t="s">
        <v>2652</v>
      </c>
      <c r="H107" s="436" t="s">
        <v>2794</v>
      </c>
      <c r="I107" s="641">
        <v>120000</v>
      </c>
      <c r="J107" s="641">
        <v>6000</v>
      </c>
      <c r="K107" s="641">
        <v>6000</v>
      </c>
      <c r="L107" s="641">
        <v>0</v>
      </c>
      <c r="M107" s="641">
        <v>0</v>
      </c>
      <c r="N107" s="642"/>
      <c r="O107" s="641">
        <f>+I107-(SUM(J107:N107))</f>
        <v>108000</v>
      </c>
    </row>
    <row r="108" spans="1:15" s="441" customFormat="1" ht="112.5" x14ac:dyDescent="0.2">
      <c r="A108" s="439">
        <v>6</v>
      </c>
      <c r="B108" s="438">
        <v>243747</v>
      </c>
      <c r="C108" s="440" t="s">
        <v>2653</v>
      </c>
      <c r="D108" s="639" t="s">
        <v>2654</v>
      </c>
      <c r="E108" s="640" t="s">
        <v>2138</v>
      </c>
      <c r="F108" s="435" t="s">
        <v>19</v>
      </c>
      <c r="G108" s="435" t="s">
        <v>1198</v>
      </c>
      <c r="H108" s="436" t="s">
        <v>2795</v>
      </c>
      <c r="I108" s="641">
        <v>114000</v>
      </c>
      <c r="J108" s="641">
        <v>0</v>
      </c>
      <c r="K108" s="641">
        <v>0</v>
      </c>
      <c r="L108" s="641">
        <v>5700</v>
      </c>
      <c r="M108" s="641">
        <v>5700</v>
      </c>
      <c r="N108" s="642"/>
      <c r="O108" s="641">
        <f>+I108-(SUM(J108:N108))</f>
        <v>102600</v>
      </c>
    </row>
    <row r="109" spans="1:15" s="441" customFormat="1" ht="112.5" x14ac:dyDescent="0.2">
      <c r="A109" s="439">
        <v>7</v>
      </c>
      <c r="B109" s="438">
        <v>243773</v>
      </c>
      <c r="C109" s="440" t="s">
        <v>2676</v>
      </c>
      <c r="D109" s="639" t="s">
        <v>2677</v>
      </c>
      <c r="E109" s="640" t="s">
        <v>2138</v>
      </c>
      <c r="F109" s="435" t="s">
        <v>19</v>
      </c>
      <c r="G109" s="435" t="s">
        <v>1198</v>
      </c>
      <c r="H109" s="436" t="s">
        <v>2796</v>
      </c>
      <c r="I109" s="641">
        <v>30000</v>
      </c>
      <c r="J109" s="641">
        <v>0</v>
      </c>
      <c r="K109" s="641">
        <v>0</v>
      </c>
      <c r="L109" s="641">
        <v>1500</v>
      </c>
      <c r="M109" s="641">
        <v>1500</v>
      </c>
      <c r="N109" s="642"/>
      <c r="O109" s="641">
        <f>+I109-(SUM(J109:N109))</f>
        <v>27000</v>
      </c>
    </row>
    <row r="110" spans="1:15" s="441" customFormat="1" ht="225" x14ac:dyDescent="0.2">
      <c r="A110" s="439">
        <v>8</v>
      </c>
      <c r="B110" s="438" t="s">
        <v>2697</v>
      </c>
      <c r="C110" s="440" t="s">
        <v>2698</v>
      </c>
      <c r="D110" s="639" t="s">
        <v>2699</v>
      </c>
      <c r="E110" s="640" t="s">
        <v>2138</v>
      </c>
      <c r="F110" s="435" t="s">
        <v>19</v>
      </c>
      <c r="G110" s="435" t="s">
        <v>1763</v>
      </c>
      <c r="H110" s="436" t="s">
        <v>2797</v>
      </c>
      <c r="I110" s="641">
        <v>671000</v>
      </c>
      <c r="J110" s="641">
        <v>0</v>
      </c>
      <c r="K110" s="641">
        <v>0</v>
      </c>
      <c r="L110" s="641">
        <v>0</v>
      </c>
      <c r="M110" s="641">
        <v>0</v>
      </c>
      <c r="N110" s="642" t="s">
        <v>1786</v>
      </c>
      <c r="O110" s="641">
        <f>+I110-(SUM(J110:N110))</f>
        <v>671000</v>
      </c>
    </row>
    <row r="111" spans="1:15" s="441" customFormat="1" ht="187.5" x14ac:dyDescent="0.2">
      <c r="A111" s="439">
        <v>9</v>
      </c>
      <c r="B111" s="438" t="s">
        <v>2697</v>
      </c>
      <c r="C111" s="440" t="s">
        <v>2698</v>
      </c>
      <c r="D111" s="639" t="s">
        <v>2699</v>
      </c>
      <c r="E111" s="640" t="s">
        <v>2198</v>
      </c>
      <c r="F111" s="435" t="s">
        <v>19</v>
      </c>
      <c r="G111" s="435" t="s">
        <v>1763</v>
      </c>
      <c r="H111" s="436" t="s">
        <v>2798</v>
      </c>
      <c r="I111" s="641">
        <v>671000</v>
      </c>
      <c r="J111" s="641">
        <v>0</v>
      </c>
      <c r="K111" s="641">
        <v>0</v>
      </c>
      <c r="L111" s="641">
        <v>0</v>
      </c>
      <c r="M111" s="641">
        <v>0</v>
      </c>
      <c r="N111" s="642" t="s">
        <v>1786</v>
      </c>
      <c r="O111" s="641">
        <f>+I111-(SUM(J111:N111))</f>
        <v>671000</v>
      </c>
    </row>
    <row r="112" spans="1:15" s="441" customFormat="1" ht="168.75" x14ac:dyDescent="0.2">
      <c r="A112" s="439">
        <v>10</v>
      </c>
      <c r="B112" s="438" t="s">
        <v>2836</v>
      </c>
      <c r="C112" s="440" t="s">
        <v>2874</v>
      </c>
      <c r="D112" s="639" t="s">
        <v>2875</v>
      </c>
      <c r="E112" s="640" t="s">
        <v>2881</v>
      </c>
      <c r="F112" s="435" t="s">
        <v>19</v>
      </c>
      <c r="G112" s="435" t="s">
        <v>1763</v>
      </c>
      <c r="H112" s="436" t="s">
        <v>2882</v>
      </c>
      <c r="I112" s="641">
        <v>546400</v>
      </c>
      <c r="J112" s="641">
        <v>0</v>
      </c>
      <c r="K112" s="641">
        <v>0</v>
      </c>
      <c r="L112" s="641">
        <v>0</v>
      </c>
      <c r="M112" s="641">
        <v>0</v>
      </c>
      <c r="N112" s="642" t="s">
        <v>1786</v>
      </c>
      <c r="O112" s="641">
        <f>+I112-(SUM(J112:N112))</f>
        <v>546400</v>
      </c>
    </row>
    <row r="113" spans="1:15" s="441" customFormat="1" ht="187.5" x14ac:dyDescent="0.2">
      <c r="A113" s="439">
        <v>11</v>
      </c>
      <c r="B113" s="438" t="s">
        <v>2828</v>
      </c>
      <c r="C113" s="440" t="s">
        <v>2883</v>
      </c>
      <c r="D113" s="639" t="s">
        <v>2884</v>
      </c>
      <c r="E113" s="640" t="s">
        <v>2631</v>
      </c>
      <c r="F113" s="435" t="s">
        <v>19</v>
      </c>
      <c r="G113" s="435" t="s">
        <v>1198</v>
      </c>
      <c r="H113" s="436" t="s">
        <v>2885</v>
      </c>
      <c r="I113" s="641">
        <v>285000</v>
      </c>
      <c r="J113" s="641">
        <v>0</v>
      </c>
      <c r="K113" s="641">
        <v>0</v>
      </c>
      <c r="L113" s="641">
        <v>14250</v>
      </c>
      <c r="M113" s="641">
        <v>14250</v>
      </c>
      <c r="N113" s="642"/>
      <c r="O113" s="641">
        <f>+I113-(SUM(J113:N113))</f>
        <v>256500</v>
      </c>
    </row>
    <row r="114" spans="1:15" s="441" customFormat="1" x14ac:dyDescent="0.2">
      <c r="A114" s="388" t="s">
        <v>117</v>
      </c>
      <c r="B114" s="389"/>
      <c r="C114" s="390"/>
      <c r="D114" s="637"/>
      <c r="E114" s="388"/>
      <c r="F114" s="391"/>
      <c r="G114" s="391"/>
      <c r="H114" s="392"/>
      <c r="I114" s="393">
        <f>SUM(I115:I134)</f>
        <v>4633050</v>
      </c>
      <c r="J114" s="393">
        <f t="shared" ref="J114:O114" si="8">SUM(J115:J134)</f>
        <v>207750</v>
      </c>
      <c r="K114" s="393">
        <f t="shared" si="8"/>
        <v>207750</v>
      </c>
      <c r="L114" s="393">
        <f t="shared" si="8"/>
        <v>9500</v>
      </c>
      <c r="M114" s="393">
        <f t="shared" si="8"/>
        <v>9500</v>
      </c>
      <c r="N114" s="393"/>
      <c r="O114" s="393">
        <f t="shared" si="8"/>
        <v>4198550</v>
      </c>
    </row>
    <row r="115" spans="1:15" s="441" customFormat="1" ht="150" x14ac:dyDescent="0.2">
      <c r="A115" s="439">
        <v>1</v>
      </c>
      <c r="B115" s="438" t="s">
        <v>2435</v>
      </c>
      <c r="C115" s="440" t="s">
        <v>2448</v>
      </c>
      <c r="D115" s="639" t="s">
        <v>2449</v>
      </c>
      <c r="E115" s="640" t="s">
        <v>2205</v>
      </c>
      <c r="F115" s="435" t="s">
        <v>117</v>
      </c>
      <c r="G115" s="435" t="s">
        <v>1763</v>
      </c>
      <c r="H115" s="436" t="s">
        <v>2712</v>
      </c>
      <c r="I115" s="641">
        <v>288050</v>
      </c>
      <c r="J115" s="641">
        <v>0</v>
      </c>
      <c r="K115" s="641">
        <v>0</v>
      </c>
      <c r="L115" s="641">
        <v>0</v>
      </c>
      <c r="M115" s="641">
        <v>0</v>
      </c>
      <c r="N115" s="642" t="s">
        <v>1786</v>
      </c>
      <c r="O115" s="641">
        <f>+I115-(SUM(J115:N115))</f>
        <v>288050</v>
      </c>
    </row>
    <row r="116" spans="1:15" s="441" customFormat="1" ht="93.75" x14ac:dyDescent="0.2">
      <c r="A116" s="439">
        <v>2</v>
      </c>
      <c r="B116" s="438" t="s">
        <v>2455</v>
      </c>
      <c r="C116" s="440" t="s">
        <v>2456</v>
      </c>
      <c r="D116" s="639" t="s">
        <v>2457</v>
      </c>
      <c r="E116" s="640" t="s">
        <v>115</v>
      </c>
      <c r="F116" s="435" t="s">
        <v>117</v>
      </c>
      <c r="G116" s="435" t="s">
        <v>2458</v>
      </c>
      <c r="H116" s="436" t="s">
        <v>1766</v>
      </c>
      <c r="I116" s="641">
        <v>255000</v>
      </c>
      <c r="J116" s="641">
        <v>12750</v>
      </c>
      <c r="K116" s="641">
        <v>12750</v>
      </c>
      <c r="L116" s="641">
        <v>0</v>
      </c>
      <c r="M116" s="641">
        <v>0</v>
      </c>
      <c r="N116" s="644"/>
      <c r="O116" s="641">
        <f>+I116-(SUM(J116:N116))</f>
        <v>229500</v>
      </c>
    </row>
    <row r="117" spans="1:15" s="441" customFormat="1" ht="93.75" x14ac:dyDescent="0.2">
      <c r="A117" s="439">
        <v>3</v>
      </c>
      <c r="B117" s="438" t="s">
        <v>2481</v>
      </c>
      <c r="C117" s="440" t="s">
        <v>2482</v>
      </c>
      <c r="D117" s="639" t="s">
        <v>2483</v>
      </c>
      <c r="E117" s="640" t="s">
        <v>115</v>
      </c>
      <c r="F117" s="435" t="s">
        <v>117</v>
      </c>
      <c r="G117" s="435" t="s">
        <v>544</v>
      </c>
      <c r="H117" s="436" t="s">
        <v>1766</v>
      </c>
      <c r="I117" s="641">
        <v>407000</v>
      </c>
      <c r="J117" s="641">
        <v>20350</v>
      </c>
      <c r="K117" s="641">
        <v>20350</v>
      </c>
      <c r="L117" s="641">
        <v>0</v>
      </c>
      <c r="M117" s="641">
        <v>0</v>
      </c>
      <c r="N117" s="644"/>
      <c r="O117" s="641">
        <f>+I117-(SUM(J117:N117))</f>
        <v>366300</v>
      </c>
    </row>
    <row r="118" spans="1:15" s="441" customFormat="1" ht="93.75" x14ac:dyDescent="0.2">
      <c r="A118" s="439">
        <v>4</v>
      </c>
      <c r="B118" s="438" t="s">
        <v>2484</v>
      </c>
      <c r="C118" s="440" t="s">
        <v>2485</v>
      </c>
      <c r="D118" s="639" t="s">
        <v>2486</v>
      </c>
      <c r="E118" s="640" t="s">
        <v>2201</v>
      </c>
      <c r="F118" s="435" t="s">
        <v>117</v>
      </c>
      <c r="G118" s="435" t="s">
        <v>1198</v>
      </c>
      <c r="H118" s="436" t="s">
        <v>2713</v>
      </c>
      <c r="I118" s="641">
        <v>152000</v>
      </c>
      <c r="J118" s="641">
        <v>7600</v>
      </c>
      <c r="K118" s="641">
        <v>7600</v>
      </c>
      <c r="L118" s="641">
        <v>0</v>
      </c>
      <c r="M118" s="641">
        <v>0</v>
      </c>
      <c r="N118" s="644"/>
      <c r="O118" s="641">
        <f>+I118-(SUM(J118:N118))</f>
        <v>136800</v>
      </c>
    </row>
    <row r="119" spans="1:15" s="441" customFormat="1" ht="93.75" x14ac:dyDescent="0.2">
      <c r="A119" s="439">
        <v>5</v>
      </c>
      <c r="B119" s="438" t="s">
        <v>2487</v>
      </c>
      <c r="C119" s="440" t="s">
        <v>2488</v>
      </c>
      <c r="D119" s="639" t="s">
        <v>2489</v>
      </c>
      <c r="E119" s="640" t="s">
        <v>115</v>
      </c>
      <c r="F119" s="435" t="s">
        <v>117</v>
      </c>
      <c r="G119" s="435" t="s">
        <v>278</v>
      </c>
      <c r="H119" s="436" t="s">
        <v>1766</v>
      </c>
      <c r="I119" s="641">
        <v>258000</v>
      </c>
      <c r="J119" s="641">
        <v>12900</v>
      </c>
      <c r="K119" s="641">
        <v>12900</v>
      </c>
      <c r="L119" s="641">
        <v>0</v>
      </c>
      <c r="M119" s="641">
        <v>0</v>
      </c>
      <c r="N119" s="644"/>
      <c r="O119" s="641">
        <f>+I119-(SUM(J119:N119))</f>
        <v>232200</v>
      </c>
    </row>
    <row r="120" spans="1:15" s="441" customFormat="1" ht="93.75" x14ac:dyDescent="0.2">
      <c r="A120" s="439">
        <v>6</v>
      </c>
      <c r="B120" s="438" t="s">
        <v>2521</v>
      </c>
      <c r="C120" s="440" t="s">
        <v>2522</v>
      </c>
      <c r="D120" s="639" t="s">
        <v>2523</v>
      </c>
      <c r="E120" s="640" t="s">
        <v>115</v>
      </c>
      <c r="F120" s="435" t="s">
        <v>117</v>
      </c>
      <c r="G120" s="435" t="s">
        <v>345</v>
      </c>
      <c r="H120" s="436" t="s">
        <v>1766</v>
      </c>
      <c r="I120" s="641">
        <v>142000</v>
      </c>
      <c r="J120" s="641">
        <v>7100</v>
      </c>
      <c r="K120" s="641">
        <v>7100</v>
      </c>
      <c r="L120" s="641">
        <v>0</v>
      </c>
      <c r="M120" s="641">
        <v>0</v>
      </c>
      <c r="N120" s="644"/>
      <c r="O120" s="641">
        <f>+I120-(SUM(J120:N120))</f>
        <v>127800</v>
      </c>
    </row>
    <row r="121" spans="1:15" s="441" customFormat="1" ht="112.5" x14ac:dyDescent="0.2">
      <c r="A121" s="439">
        <v>7</v>
      </c>
      <c r="B121" s="438" t="s">
        <v>2524</v>
      </c>
      <c r="C121" s="440" t="s">
        <v>2525</v>
      </c>
      <c r="D121" s="639" t="s">
        <v>2526</v>
      </c>
      <c r="E121" s="640" t="s">
        <v>302</v>
      </c>
      <c r="F121" s="435" t="s">
        <v>117</v>
      </c>
      <c r="G121" s="435" t="s">
        <v>444</v>
      </c>
      <c r="H121" s="436" t="s">
        <v>2527</v>
      </c>
      <c r="I121" s="641">
        <v>90000</v>
      </c>
      <c r="J121" s="641">
        <v>4500</v>
      </c>
      <c r="K121" s="641">
        <v>4500</v>
      </c>
      <c r="L121" s="641">
        <v>0</v>
      </c>
      <c r="M121" s="641">
        <v>0</v>
      </c>
      <c r="N121" s="644"/>
      <c r="O121" s="641">
        <f>+I121-(SUM(J121:N121))</f>
        <v>81000</v>
      </c>
    </row>
    <row r="122" spans="1:15" s="441" customFormat="1" ht="93.75" x14ac:dyDescent="0.2">
      <c r="A122" s="439">
        <v>8</v>
      </c>
      <c r="B122" s="438" t="s">
        <v>2551</v>
      </c>
      <c r="C122" s="440" t="s">
        <v>2552</v>
      </c>
      <c r="D122" s="639" t="s">
        <v>2553</v>
      </c>
      <c r="E122" s="640" t="s">
        <v>115</v>
      </c>
      <c r="F122" s="435" t="s">
        <v>117</v>
      </c>
      <c r="G122" s="435" t="s">
        <v>303</v>
      </c>
      <c r="H122" s="436" t="s">
        <v>1766</v>
      </c>
      <c r="I122" s="641">
        <v>39000</v>
      </c>
      <c r="J122" s="641">
        <v>1950</v>
      </c>
      <c r="K122" s="641">
        <v>1950</v>
      </c>
      <c r="L122" s="641">
        <v>0</v>
      </c>
      <c r="M122" s="641">
        <v>0</v>
      </c>
      <c r="N122" s="644"/>
      <c r="O122" s="641">
        <f>+I122-(SUM(J122:N122))</f>
        <v>35100</v>
      </c>
    </row>
    <row r="123" spans="1:15" s="441" customFormat="1" ht="93.75" x14ac:dyDescent="0.2">
      <c r="A123" s="439">
        <v>9</v>
      </c>
      <c r="B123" s="438" t="s">
        <v>2632</v>
      </c>
      <c r="C123" s="440" t="s">
        <v>2633</v>
      </c>
      <c r="D123" s="639" t="s">
        <v>2634</v>
      </c>
      <c r="E123" s="640" t="s">
        <v>115</v>
      </c>
      <c r="F123" s="435" t="s">
        <v>117</v>
      </c>
      <c r="G123" s="435" t="s">
        <v>318</v>
      </c>
      <c r="H123" s="436" t="s">
        <v>1766</v>
      </c>
      <c r="I123" s="641">
        <v>19000</v>
      </c>
      <c r="J123" s="641">
        <v>950</v>
      </c>
      <c r="K123" s="641">
        <v>950</v>
      </c>
      <c r="L123" s="641">
        <v>0</v>
      </c>
      <c r="M123" s="641">
        <v>0</v>
      </c>
      <c r="N123" s="642"/>
      <c r="O123" s="641">
        <f>+I123-(SUM(J123:N123))</f>
        <v>17100</v>
      </c>
    </row>
    <row r="124" spans="1:15" s="441" customFormat="1" ht="93.75" x14ac:dyDescent="0.2">
      <c r="A124" s="439">
        <v>10</v>
      </c>
      <c r="B124" s="438" t="s">
        <v>2635</v>
      </c>
      <c r="C124" s="440" t="s">
        <v>2636</v>
      </c>
      <c r="D124" s="639" t="s">
        <v>2637</v>
      </c>
      <c r="E124" s="640" t="s">
        <v>115</v>
      </c>
      <c r="F124" s="435" t="s">
        <v>117</v>
      </c>
      <c r="G124" s="435" t="s">
        <v>318</v>
      </c>
      <c r="H124" s="436" t="s">
        <v>1766</v>
      </c>
      <c r="I124" s="641">
        <v>20000</v>
      </c>
      <c r="J124" s="641">
        <v>1000</v>
      </c>
      <c r="K124" s="641">
        <v>1000</v>
      </c>
      <c r="L124" s="641">
        <v>0</v>
      </c>
      <c r="M124" s="641">
        <v>0</v>
      </c>
      <c r="N124" s="642"/>
      <c r="O124" s="641">
        <f>+I124-(SUM(J124:N124))</f>
        <v>18000</v>
      </c>
    </row>
    <row r="125" spans="1:15" s="441" customFormat="1" ht="93.75" x14ac:dyDescent="0.2">
      <c r="A125" s="439">
        <v>11</v>
      </c>
      <c r="B125" s="438">
        <v>243747</v>
      </c>
      <c r="C125" s="440" t="s">
        <v>2655</v>
      </c>
      <c r="D125" s="639" t="s">
        <v>2656</v>
      </c>
      <c r="E125" s="640" t="s">
        <v>2201</v>
      </c>
      <c r="F125" s="435" t="s">
        <v>117</v>
      </c>
      <c r="G125" s="435" t="s">
        <v>1198</v>
      </c>
      <c r="H125" s="436" t="s">
        <v>2714</v>
      </c>
      <c r="I125" s="641">
        <v>114000</v>
      </c>
      <c r="J125" s="641">
        <v>5700</v>
      </c>
      <c r="K125" s="641">
        <v>5700</v>
      </c>
      <c r="L125" s="641">
        <v>0</v>
      </c>
      <c r="M125" s="641">
        <v>0</v>
      </c>
      <c r="N125" s="642"/>
      <c r="O125" s="641">
        <f>+I125-(SUM(J125:N125))</f>
        <v>102600</v>
      </c>
    </row>
    <row r="126" spans="1:15" s="441" customFormat="1" ht="93.75" x14ac:dyDescent="0.2">
      <c r="A126" s="439">
        <v>12</v>
      </c>
      <c r="B126" s="438">
        <v>243769</v>
      </c>
      <c r="C126" s="440" t="s">
        <v>2657</v>
      </c>
      <c r="D126" s="639" t="s">
        <v>2658</v>
      </c>
      <c r="E126" s="640" t="s">
        <v>115</v>
      </c>
      <c r="F126" s="435" t="s">
        <v>117</v>
      </c>
      <c r="G126" s="435" t="s">
        <v>318</v>
      </c>
      <c r="H126" s="436" t="s">
        <v>1766</v>
      </c>
      <c r="I126" s="641">
        <v>19000</v>
      </c>
      <c r="J126" s="641">
        <v>950</v>
      </c>
      <c r="K126" s="641">
        <v>950</v>
      </c>
      <c r="L126" s="641">
        <v>0</v>
      </c>
      <c r="M126" s="641">
        <v>0</v>
      </c>
      <c r="N126" s="642"/>
      <c r="O126" s="641">
        <f>+I126-(SUM(J126:N126))</f>
        <v>17100</v>
      </c>
    </row>
    <row r="127" spans="1:15" s="441" customFormat="1" ht="112.5" x14ac:dyDescent="0.2">
      <c r="A127" s="439">
        <v>13</v>
      </c>
      <c r="B127" s="438">
        <v>243788</v>
      </c>
      <c r="C127" s="440" t="s">
        <v>2678</v>
      </c>
      <c r="D127" s="639" t="s">
        <v>2679</v>
      </c>
      <c r="E127" s="640" t="s">
        <v>2680</v>
      </c>
      <c r="F127" s="435" t="s">
        <v>117</v>
      </c>
      <c r="G127" s="435" t="s">
        <v>1144</v>
      </c>
      <c r="H127" s="436" t="s">
        <v>2711</v>
      </c>
      <c r="I127" s="641">
        <v>190000</v>
      </c>
      <c r="J127" s="641">
        <v>0</v>
      </c>
      <c r="K127" s="641">
        <v>0</v>
      </c>
      <c r="L127" s="641">
        <v>9500</v>
      </c>
      <c r="M127" s="641">
        <v>9500</v>
      </c>
      <c r="N127" s="642"/>
      <c r="O127" s="641">
        <f>+I127-(SUM(J127:N127))</f>
        <v>171000</v>
      </c>
    </row>
    <row r="128" spans="1:15" s="441" customFormat="1" ht="93.75" x14ac:dyDescent="0.2">
      <c r="A128" s="439">
        <v>14</v>
      </c>
      <c r="B128" s="438" t="s">
        <v>2685</v>
      </c>
      <c r="C128" s="440" t="s">
        <v>2686</v>
      </c>
      <c r="D128" s="639" t="s">
        <v>2687</v>
      </c>
      <c r="E128" s="640" t="s">
        <v>2201</v>
      </c>
      <c r="F128" s="435" t="s">
        <v>117</v>
      </c>
      <c r="G128" s="435" t="s">
        <v>1198</v>
      </c>
      <c r="H128" s="436" t="s">
        <v>2715</v>
      </c>
      <c r="I128" s="641">
        <v>20000</v>
      </c>
      <c r="J128" s="641">
        <v>1000</v>
      </c>
      <c r="K128" s="641">
        <v>1000</v>
      </c>
      <c r="L128" s="641">
        <v>0</v>
      </c>
      <c r="M128" s="641">
        <v>0</v>
      </c>
      <c r="N128" s="642"/>
      <c r="O128" s="641">
        <f>+I128-(SUM(J128:N128))</f>
        <v>18000</v>
      </c>
    </row>
    <row r="129" spans="1:15" s="441" customFormat="1" ht="93.75" x14ac:dyDescent="0.2">
      <c r="A129" s="439">
        <v>15</v>
      </c>
      <c r="B129" s="438" t="s">
        <v>2886</v>
      </c>
      <c r="C129" s="440" t="s">
        <v>2887</v>
      </c>
      <c r="D129" s="639" t="s">
        <v>2888</v>
      </c>
      <c r="E129" s="640" t="s">
        <v>115</v>
      </c>
      <c r="F129" s="435" t="s">
        <v>117</v>
      </c>
      <c r="G129" s="435" t="s">
        <v>318</v>
      </c>
      <c r="H129" s="436" t="s">
        <v>1766</v>
      </c>
      <c r="I129" s="641">
        <v>20000</v>
      </c>
      <c r="J129" s="641">
        <v>1000</v>
      </c>
      <c r="K129" s="641">
        <v>1000</v>
      </c>
      <c r="L129" s="641">
        <v>0</v>
      </c>
      <c r="M129" s="641">
        <v>0</v>
      </c>
      <c r="N129" s="642"/>
      <c r="O129" s="641">
        <f>+I129-(SUM(J129:N129))</f>
        <v>18000</v>
      </c>
    </row>
    <row r="130" spans="1:15" s="441" customFormat="1" ht="93.75" x14ac:dyDescent="0.2">
      <c r="A130" s="439">
        <v>16</v>
      </c>
      <c r="B130" s="438" t="s">
        <v>2828</v>
      </c>
      <c r="C130" s="440" t="s">
        <v>2889</v>
      </c>
      <c r="D130" s="639" t="s">
        <v>2890</v>
      </c>
      <c r="E130" s="640" t="s">
        <v>115</v>
      </c>
      <c r="F130" s="435" t="s">
        <v>117</v>
      </c>
      <c r="G130" s="435" t="s">
        <v>318</v>
      </c>
      <c r="H130" s="436" t="s">
        <v>1766</v>
      </c>
      <c r="I130" s="641">
        <v>25000</v>
      </c>
      <c r="J130" s="641">
        <v>1250</v>
      </c>
      <c r="K130" s="641">
        <v>1250</v>
      </c>
      <c r="L130" s="641">
        <v>0</v>
      </c>
      <c r="M130" s="641">
        <v>0</v>
      </c>
      <c r="N130" s="642"/>
      <c r="O130" s="641">
        <f>+I130-(SUM(J130:N130))</f>
        <v>22500</v>
      </c>
    </row>
    <row r="131" spans="1:15" s="441" customFormat="1" ht="93.75" x14ac:dyDescent="0.2">
      <c r="A131" s="439">
        <v>17</v>
      </c>
      <c r="B131" s="438" t="s">
        <v>2828</v>
      </c>
      <c r="C131" s="440" t="s">
        <v>2456</v>
      </c>
      <c r="D131" s="639" t="s">
        <v>2891</v>
      </c>
      <c r="E131" s="640" t="s">
        <v>115</v>
      </c>
      <c r="F131" s="435" t="s">
        <v>117</v>
      </c>
      <c r="G131" s="435" t="s">
        <v>299</v>
      </c>
      <c r="H131" s="436" t="s">
        <v>1766</v>
      </c>
      <c r="I131" s="641">
        <v>530000</v>
      </c>
      <c r="J131" s="641">
        <v>26500</v>
      </c>
      <c r="K131" s="641">
        <v>26500</v>
      </c>
      <c r="L131" s="641">
        <v>0</v>
      </c>
      <c r="M131" s="641">
        <v>0</v>
      </c>
      <c r="N131" s="642"/>
      <c r="O131" s="641">
        <f>+I131-(SUM(J131:N131))</f>
        <v>477000</v>
      </c>
    </row>
    <row r="132" spans="1:15" s="441" customFormat="1" ht="93.75" x14ac:dyDescent="0.2">
      <c r="A132" s="439">
        <v>18</v>
      </c>
      <c r="B132" s="438" t="s">
        <v>2828</v>
      </c>
      <c r="C132" s="440" t="s">
        <v>2456</v>
      </c>
      <c r="D132" s="639" t="s">
        <v>2891</v>
      </c>
      <c r="E132" s="640" t="s">
        <v>115</v>
      </c>
      <c r="F132" s="435" t="s">
        <v>117</v>
      </c>
      <c r="G132" s="435" t="s">
        <v>289</v>
      </c>
      <c r="H132" s="436" t="s">
        <v>1766</v>
      </c>
      <c r="I132" s="641">
        <v>90000</v>
      </c>
      <c r="J132" s="641">
        <v>4500</v>
      </c>
      <c r="K132" s="641">
        <v>4500</v>
      </c>
      <c r="L132" s="641">
        <v>0</v>
      </c>
      <c r="M132" s="641">
        <v>0</v>
      </c>
      <c r="N132" s="642"/>
      <c r="O132" s="641">
        <f>+I132-(SUM(J132:N132))</f>
        <v>81000</v>
      </c>
    </row>
    <row r="133" spans="1:15" s="441" customFormat="1" ht="93.75" x14ac:dyDescent="0.2">
      <c r="A133" s="439">
        <v>19</v>
      </c>
      <c r="B133" s="438" t="s">
        <v>2828</v>
      </c>
      <c r="C133" s="645" t="s">
        <v>1109</v>
      </c>
      <c r="D133" s="639" t="s">
        <v>2892</v>
      </c>
      <c r="E133" s="640" t="s">
        <v>115</v>
      </c>
      <c r="F133" s="435" t="s">
        <v>117</v>
      </c>
      <c r="G133" s="435" t="s">
        <v>2893</v>
      </c>
      <c r="H133" s="436" t="s">
        <v>1766</v>
      </c>
      <c r="I133" s="641">
        <v>1930000</v>
      </c>
      <c r="J133" s="641">
        <v>96500</v>
      </c>
      <c r="K133" s="641">
        <v>96500</v>
      </c>
      <c r="L133" s="641">
        <v>0</v>
      </c>
      <c r="M133" s="641">
        <v>0</v>
      </c>
      <c r="N133" s="642"/>
      <c r="O133" s="641">
        <f>+I133-(SUM(J133:N133))</f>
        <v>1737000</v>
      </c>
    </row>
    <row r="134" spans="1:15" s="441" customFormat="1" ht="93.75" x14ac:dyDescent="0.2">
      <c r="A134" s="439">
        <v>20</v>
      </c>
      <c r="B134" s="438" t="s">
        <v>2828</v>
      </c>
      <c r="C134" s="645" t="s">
        <v>1109</v>
      </c>
      <c r="D134" s="639" t="s">
        <v>2892</v>
      </c>
      <c r="E134" s="640" t="s">
        <v>302</v>
      </c>
      <c r="F134" s="435" t="s">
        <v>117</v>
      </c>
      <c r="G134" s="435" t="s">
        <v>2894</v>
      </c>
      <c r="H134" s="436" t="s">
        <v>2895</v>
      </c>
      <c r="I134" s="641">
        <v>25000</v>
      </c>
      <c r="J134" s="641">
        <v>1250</v>
      </c>
      <c r="K134" s="641">
        <v>1250</v>
      </c>
      <c r="L134" s="641">
        <v>0</v>
      </c>
      <c r="M134" s="641">
        <v>0</v>
      </c>
      <c r="N134" s="642"/>
      <c r="O134" s="641">
        <f>+I134-(SUM(J134:N134))</f>
        <v>22500</v>
      </c>
    </row>
    <row r="135" spans="1:15" s="441" customFormat="1" x14ac:dyDescent="0.2">
      <c r="A135" s="388" t="s">
        <v>2818</v>
      </c>
      <c r="B135" s="389"/>
      <c r="C135" s="646"/>
      <c r="D135" s="637"/>
      <c r="E135" s="388"/>
      <c r="F135" s="391"/>
      <c r="G135" s="391"/>
      <c r="H135" s="392"/>
      <c r="I135" s="393">
        <f>SUM(I136)</f>
        <v>1269250</v>
      </c>
      <c r="J135" s="393">
        <f t="shared" ref="J135:O135" si="9">SUM(J136)</f>
        <v>0</v>
      </c>
      <c r="K135" s="393">
        <f t="shared" si="9"/>
        <v>0</v>
      </c>
      <c r="L135" s="393">
        <f t="shared" si="9"/>
        <v>0</v>
      </c>
      <c r="M135" s="393">
        <f t="shared" si="9"/>
        <v>0</v>
      </c>
      <c r="N135" s="393"/>
      <c r="O135" s="393">
        <f t="shared" si="9"/>
        <v>1269250</v>
      </c>
    </row>
    <row r="136" spans="1:15" s="441" customFormat="1" ht="168.75" x14ac:dyDescent="0.2">
      <c r="A136" s="439">
        <v>1</v>
      </c>
      <c r="B136" s="438" t="s">
        <v>2819</v>
      </c>
      <c r="C136" s="440" t="s">
        <v>2820</v>
      </c>
      <c r="D136" s="639" t="s">
        <v>2821</v>
      </c>
      <c r="E136" s="640" t="s">
        <v>2896</v>
      </c>
      <c r="F136" s="435" t="s">
        <v>2818</v>
      </c>
      <c r="G136" s="435" t="s">
        <v>1763</v>
      </c>
      <c r="H136" s="436" t="s">
        <v>2897</v>
      </c>
      <c r="I136" s="641">
        <v>1269250</v>
      </c>
      <c r="J136" s="641">
        <v>0</v>
      </c>
      <c r="K136" s="641">
        <v>0</v>
      </c>
      <c r="L136" s="641">
        <v>0</v>
      </c>
      <c r="M136" s="641">
        <v>0</v>
      </c>
      <c r="N136" s="642" t="s">
        <v>1786</v>
      </c>
      <c r="O136" s="641">
        <f>+I136-(SUM(J136:N136))</f>
        <v>1269250</v>
      </c>
    </row>
    <row r="137" spans="1:15" s="441" customFormat="1" x14ac:dyDescent="0.2">
      <c r="A137" s="388" t="s">
        <v>706</v>
      </c>
      <c r="B137" s="389"/>
      <c r="C137" s="390"/>
      <c r="D137" s="637"/>
      <c r="E137" s="388"/>
      <c r="F137" s="391"/>
      <c r="G137" s="391"/>
      <c r="H137" s="392"/>
      <c r="I137" s="393">
        <f>SUM(I138:I143)</f>
        <v>1747532</v>
      </c>
      <c r="J137" s="393">
        <f t="shared" ref="J137:O137" si="10">SUM(J138:J143)</f>
        <v>0</v>
      </c>
      <c r="K137" s="393">
        <f t="shared" si="10"/>
        <v>0</v>
      </c>
      <c r="L137" s="393">
        <f t="shared" si="10"/>
        <v>6750</v>
      </c>
      <c r="M137" s="393">
        <f t="shared" si="10"/>
        <v>6750</v>
      </c>
      <c r="N137" s="393"/>
      <c r="O137" s="393">
        <f t="shared" si="10"/>
        <v>1734032</v>
      </c>
    </row>
    <row r="138" spans="1:15" s="441" customFormat="1" ht="243.75" x14ac:dyDescent="0.2">
      <c r="A138" s="439">
        <v>1</v>
      </c>
      <c r="B138" s="438" t="s">
        <v>2438</v>
      </c>
      <c r="C138" s="440" t="s">
        <v>2459</v>
      </c>
      <c r="D138" s="639" t="s">
        <v>2460</v>
      </c>
      <c r="E138" s="640" t="s">
        <v>1704</v>
      </c>
      <c r="F138" s="435" t="s">
        <v>706</v>
      </c>
      <c r="G138" s="435" t="s">
        <v>2461</v>
      </c>
      <c r="H138" s="436" t="s">
        <v>2799</v>
      </c>
      <c r="I138" s="641">
        <v>75000</v>
      </c>
      <c r="J138" s="641">
        <v>0</v>
      </c>
      <c r="K138" s="641">
        <v>0</v>
      </c>
      <c r="L138" s="641">
        <v>0</v>
      </c>
      <c r="M138" s="641">
        <v>0</v>
      </c>
      <c r="N138" s="642" t="s">
        <v>2182</v>
      </c>
      <c r="O138" s="641">
        <f>+I138-(SUM(J138:N138))</f>
        <v>75000</v>
      </c>
    </row>
    <row r="139" spans="1:15" s="441" customFormat="1" ht="112.5" x14ac:dyDescent="0.2">
      <c r="A139" s="439">
        <v>2</v>
      </c>
      <c r="B139" s="438" t="s">
        <v>2435</v>
      </c>
      <c r="C139" s="440" t="s">
        <v>2448</v>
      </c>
      <c r="D139" s="639" t="s">
        <v>2449</v>
      </c>
      <c r="E139" s="640" t="s">
        <v>1733</v>
      </c>
      <c r="F139" s="435" t="s">
        <v>706</v>
      </c>
      <c r="G139" s="435" t="s">
        <v>2154</v>
      </c>
      <c r="H139" s="436" t="s">
        <v>2800</v>
      </c>
      <c r="I139" s="641">
        <v>178500</v>
      </c>
      <c r="J139" s="641">
        <v>0</v>
      </c>
      <c r="K139" s="641">
        <v>0</v>
      </c>
      <c r="L139" s="641">
        <v>0</v>
      </c>
      <c r="M139" s="641">
        <v>0</v>
      </c>
      <c r="N139" s="642" t="s">
        <v>1786</v>
      </c>
      <c r="O139" s="641">
        <f>+I139-(SUM(J139:N139))</f>
        <v>178500</v>
      </c>
    </row>
    <row r="140" spans="1:15" s="441" customFormat="1" ht="187.5" x14ac:dyDescent="0.2">
      <c r="A140" s="439">
        <v>3</v>
      </c>
      <c r="B140" s="438" t="s">
        <v>2435</v>
      </c>
      <c r="C140" s="440" t="s">
        <v>2448</v>
      </c>
      <c r="D140" s="639" t="s">
        <v>2449</v>
      </c>
      <c r="E140" s="640" t="s">
        <v>1733</v>
      </c>
      <c r="F140" s="435" t="s">
        <v>706</v>
      </c>
      <c r="G140" s="435" t="s">
        <v>2154</v>
      </c>
      <c r="H140" s="436" t="s">
        <v>2801</v>
      </c>
      <c r="I140" s="641">
        <v>484732</v>
      </c>
      <c r="J140" s="641">
        <v>0</v>
      </c>
      <c r="K140" s="641">
        <v>0</v>
      </c>
      <c r="L140" s="641">
        <v>0</v>
      </c>
      <c r="M140" s="641">
        <v>0</v>
      </c>
      <c r="N140" s="642" t="s">
        <v>1786</v>
      </c>
      <c r="O140" s="641">
        <f>+I140-(SUM(J140:N140))</f>
        <v>484732</v>
      </c>
    </row>
    <row r="141" spans="1:15" s="441" customFormat="1" ht="150" x14ac:dyDescent="0.2">
      <c r="A141" s="439">
        <v>4</v>
      </c>
      <c r="B141" s="438" t="s">
        <v>2455</v>
      </c>
      <c r="C141" s="440" t="s">
        <v>2462</v>
      </c>
      <c r="D141" s="639" t="s">
        <v>2463</v>
      </c>
      <c r="E141" s="640" t="s">
        <v>1704</v>
      </c>
      <c r="F141" s="435" t="s">
        <v>706</v>
      </c>
      <c r="G141" s="435" t="s">
        <v>2461</v>
      </c>
      <c r="H141" s="436" t="s">
        <v>2464</v>
      </c>
      <c r="I141" s="641">
        <v>13500</v>
      </c>
      <c r="J141" s="641">
        <v>0</v>
      </c>
      <c r="K141" s="641">
        <v>0</v>
      </c>
      <c r="L141" s="641">
        <v>6750</v>
      </c>
      <c r="M141" s="641">
        <v>6750</v>
      </c>
      <c r="N141" s="642"/>
      <c r="O141" s="641">
        <f>+I141-(SUM(J141:N141))</f>
        <v>0</v>
      </c>
    </row>
    <row r="142" spans="1:15" s="441" customFormat="1" ht="243.75" x14ac:dyDescent="0.2">
      <c r="A142" s="439">
        <v>5</v>
      </c>
      <c r="B142" s="438" t="s">
        <v>2571</v>
      </c>
      <c r="C142" s="440" t="s">
        <v>2572</v>
      </c>
      <c r="D142" s="639" t="s">
        <v>2573</v>
      </c>
      <c r="E142" s="640" t="s">
        <v>1704</v>
      </c>
      <c r="F142" s="435" t="s">
        <v>706</v>
      </c>
      <c r="G142" s="435" t="s">
        <v>2461</v>
      </c>
      <c r="H142" s="436" t="s">
        <v>2802</v>
      </c>
      <c r="I142" s="641">
        <v>60000</v>
      </c>
      <c r="J142" s="641">
        <v>0</v>
      </c>
      <c r="K142" s="641">
        <v>0</v>
      </c>
      <c r="L142" s="641">
        <v>0</v>
      </c>
      <c r="M142" s="641">
        <v>0</v>
      </c>
      <c r="N142" s="642" t="s">
        <v>2182</v>
      </c>
      <c r="O142" s="641">
        <f>+I142-(SUM(J142:N142))</f>
        <v>60000</v>
      </c>
    </row>
    <row r="143" spans="1:15" s="441" customFormat="1" ht="131.25" x14ac:dyDescent="0.2">
      <c r="A143" s="439">
        <v>6</v>
      </c>
      <c r="B143" s="438" t="s">
        <v>2819</v>
      </c>
      <c r="C143" s="440" t="s">
        <v>2820</v>
      </c>
      <c r="D143" s="639" t="s">
        <v>2821</v>
      </c>
      <c r="E143" s="640" t="s">
        <v>1733</v>
      </c>
      <c r="F143" s="435" t="s">
        <v>706</v>
      </c>
      <c r="G143" s="435" t="s">
        <v>1763</v>
      </c>
      <c r="H143" s="436" t="s">
        <v>2898</v>
      </c>
      <c r="I143" s="641">
        <v>935800</v>
      </c>
      <c r="J143" s="641">
        <v>0</v>
      </c>
      <c r="K143" s="641">
        <v>0</v>
      </c>
      <c r="L143" s="641">
        <v>0</v>
      </c>
      <c r="M143" s="641">
        <v>0</v>
      </c>
      <c r="N143" s="642" t="s">
        <v>1786</v>
      </c>
      <c r="O143" s="641">
        <f>+I143-(SUM(J143:N143))</f>
        <v>935800</v>
      </c>
    </row>
    <row r="144" spans="1:15" s="441" customFormat="1" x14ac:dyDescent="0.2">
      <c r="A144" s="442" t="s">
        <v>923</v>
      </c>
      <c r="B144" s="389"/>
      <c r="C144" s="390"/>
      <c r="D144" s="637"/>
      <c r="E144" s="388"/>
      <c r="F144" s="391"/>
      <c r="G144" s="391"/>
      <c r="H144" s="392"/>
      <c r="I144" s="393">
        <f>SUM(I145)</f>
        <v>309000</v>
      </c>
      <c r="J144" s="393">
        <f t="shared" ref="J144:O144" si="11">SUM(J145)</f>
        <v>0</v>
      </c>
      <c r="K144" s="393">
        <f t="shared" si="11"/>
        <v>0</v>
      </c>
      <c r="L144" s="393">
        <f t="shared" si="11"/>
        <v>0</v>
      </c>
      <c r="M144" s="393">
        <f t="shared" si="11"/>
        <v>0</v>
      </c>
      <c r="N144" s="393"/>
      <c r="O144" s="393">
        <f t="shared" si="11"/>
        <v>309000</v>
      </c>
    </row>
    <row r="145" spans="1:15" s="441" customFormat="1" ht="131.25" x14ac:dyDescent="0.2">
      <c r="A145" s="439">
        <v>1</v>
      </c>
      <c r="B145" s="438" t="s">
        <v>2528</v>
      </c>
      <c r="C145" s="443" t="s">
        <v>2529</v>
      </c>
      <c r="D145" s="639" t="s">
        <v>2530</v>
      </c>
      <c r="E145" s="647" t="s">
        <v>2210</v>
      </c>
      <c r="F145" s="444" t="s">
        <v>923</v>
      </c>
      <c r="G145" s="444" t="s">
        <v>2211</v>
      </c>
      <c r="H145" s="445" t="s">
        <v>2803</v>
      </c>
      <c r="I145" s="641">
        <v>309000</v>
      </c>
      <c r="J145" s="641">
        <v>0</v>
      </c>
      <c r="K145" s="641">
        <v>0</v>
      </c>
      <c r="L145" s="648">
        <v>0</v>
      </c>
      <c r="M145" s="648">
        <v>0</v>
      </c>
      <c r="N145" s="642" t="s">
        <v>1786</v>
      </c>
      <c r="O145" s="641">
        <f>+I145-(SUM(J145:N145))</f>
        <v>309000</v>
      </c>
    </row>
    <row r="146" spans="1:15" s="441" customFormat="1" x14ac:dyDescent="0.2">
      <c r="A146" s="388" t="s">
        <v>2554</v>
      </c>
      <c r="B146" s="389"/>
      <c r="C146" s="390"/>
      <c r="D146" s="637"/>
      <c r="E146" s="388"/>
      <c r="F146" s="391"/>
      <c r="G146" s="391"/>
      <c r="H146" s="392"/>
      <c r="I146" s="393">
        <f>SUM(I147:I153)</f>
        <v>8243330</v>
      </c>
      <c r="J146" s="393">
        <f t="shared" ref="J146:O146" si="12">SUM(J147:J153)</f>
        <v>0</v>
      </c>
      <c r="K146" s="393">
        <f t="shared" si="12"/>
        <v>0</v>
      </c>
      <c r="L146" s="393">
        <f t="shared" si="12"/>
        <v>425000</v>
      </c>
      <c r="M146" s="393">
        <f t="shared" si="12"/>
        <v>127500</v>
      </c>
      <c r="N146" s="393"/>
      <c r="O146" s="393">
        <f t="shared" si="12"/>
        <v>7690830</v>
      </c>
    </row>
    <row r="147" spans="1:15" s="441" customFormat="1" ht="93.75" x14ac:dyDescent="0.2">
      <c r="A147" s="439">
        <v>1</v>
      </c>
      <c r="B147" s="438" t="s">
        <v>2528</v>
      </c>
      <c r="C147" s="440" t="s">
        <v>2529</v>
      </c>
      <c r="D147" s="639" t="s">
        <v>2530</v>
      </c>
      <c r="E147" s="640" t="s">
        <v>1251</v>
      </c>
      <c r="F147" s="435" t="s">
        <v>2659</v>
      </c>
      <c r="G147" s="435" t="s">
        <v>2154</v>
      </c>
      <c r="H147" s="436" t="s">
        <v>2807</v>
      </c>
      <c r="I147" s="641">
        <v>1290960</v>
      </c>
      <c r="J147" s="641">
        <v>0</v>
      </c>
      <c r="K147" s="641">
        <v>0</v>
      </c>
      <c r="L147" s="641">
        <v>0</v>
      </c>
      <c r="M147" s="641">
        <v>0</v>
      </c>
      <c r="N147" s="642" t="s">
        <v>2325</v>
      </c>
      <c r="O147" s="641">
        <f>+I147-(SUM(J147:N147))</f>
        <v>1290960</v>
      </c>
    </row>
    <row r="148" spans="1:15" s="441" customFormat="1" ht="112.5" x14ac:dyDescent="0.2">
      <c r="A148" s="439">
        <v>2</v>
      </c>
      <c r="B148" s="438" t="s">
        <v>2591</v>
      </c>
      <c r="C148" s="440" t="s">
        <v>2592</v>
      </c>
      <c r="D148" s="639" t="s">
        <v>2604</v>
      </c>
      <c r="E148" s="640" t="s">
        <v>1251</v>
      </c>
      <c r="F148" s="435" t="s">
        <v>2659</v>
      </c>
      <c r="G148" s="435" t="s">
        <v>1763</v>
      </c>
      <c r="H148" s="436" t="s">
        <v>2808</v>
      </c>
      <c r="I148" s="641">
        <v>1012800</v>
      </c>
      <c r="J148" s="641">
        <v>0</v>
      </c>
      <c r="K148" s="641">
        <v>0</v>
      </c>
      <c r="L148" s="641">
        <v>0</v>
      </c>
      <c r="M148" s="641">
        <v>0</v>
      </c>
      <c r="N148" s="642" t="s">
        <v>2605</v>
      </c>
      <c r="O148" s="641">
        <f>+I148-(SUM(J148:N148))</f>
        <v>1012800</v>
      </c>
    </row>
    <row r="149" spans="1:15" s="441" customFormat="1" ht="206.25" x14ac:dyDescent="0.2">
      <c r="A149" s="439">
        <v>3</v>
      </c>
      <c r="B149" s="438">
        <v>243773</v>
      </c>
      <c r="C149" s="440" t="s">
        <v>2681</v>
      </c>
      <c r="D149" s="639" t="s">
        <v>2682</v>
      </c>
      <c r="E149" s="640" t="s">
        <v>1251</v>
      </c>
      <c r="F149" s="435" t="s">
        <v>2554</v>
      </c>
      <c r="G149" s="435" t="s">
        <v>1763</v>
      </c>
      <c r="H149" s="436" t="s">
        <v>2899</v>
      </c>
      <c r="I149" s="641">
        <v>171000</v>
      </c>
      <c r="J149" s="641">
        <v>0</v>
      </c>
      <c r="K149" s="641">
        <v>0</v>
      </c>
      <c r="L149" s="641">
        <v>0</v>
      </c>
      <c r="M149" s="641">
        <v>0</v>
      </c>
      <c r="N149" s="642" t="s">
        <v>1786</v>
      </c>
      <c r="O149" s="641">
        <f>+I149-(SUM(J149:N149))</f>
        <v>171000</v>
      </c>
    </row>
    <row r="150" spans="1:15" s="441" customFormat="1" ht="93.75" x14ac:dyDescent="0.2">
      <c r="A150" s="439">
        <v>4</v>
      </c>
      <c r="B150" s="438">
        <v>243773</v>
      </c>
      <c r="C150" s="440" t="s">
        <v>2683</v>
      </c>
      <c r="D150" s="639" t="s">
        <v>2684</v>
      </c>
      <c r="E150" s="640" t="s">
        <v>1251</v>
      </c>
      <c r="F150" s="435" t="s">
        <v>2554</v>
      </c>
      <c r="G150" s="435" t="s">
        <v>1763</v>
      </c>
      <c r="H150" s="436" t="s">
        <v>2809</v>
      </c>
      <c r="I150" s="641">
        <v>610500</v>
      </c>
      <c r="J150" s="641">
        <v>0</v>
      </c>
      <c r="K150" s="641">
        <v>0</v>
      </c>
      <c r="L150" s="641">
        <v>0</v>
      </c>
      <c r="M150" s="641">
        <v>0</v>
      </c>
      <c r="N150" s="642" t="s">
        <v>1786</v>
      </c>
      <c r="O150" s="641">
        <f>+I150-(SUM(J150:N150))</f>
        <v>610500</v>
      </c>
    </row>
    <row r="151" spans="1:15" s="441" customFormat="1" ht="131.25" x14ac:dyDescent="0.2">
      <c r="A151" s="439">
        <v>5</v>
      </c>
      <c r="B151" s="438" t="s">
        <v>2703</v>
      </c>
      <c r="C151" s="440" t="s">
        <v>2708</v>
      </c>
      <c r="D151" s="639" t="s">
        <v>2709</v>
      </c>
      <c r="E151" s="640" t="s">
        <v>1251</v>
      </c>
      <c r="F151" s="435" t="s">
        <v>2659</v>
      </c>
      <c r="G151" s="435" t="s">
        <v>1763</v>
      </c>
      <c r="H151" s="436" t="s">
        <v>2810</v>
      </c>
      <c r="I151" s="641">
        <v>620000</v>
      </c>
      <c r="J151" s="641">
        <v>0</v>
      </c>
      <c r="K151" s="641">
        <v>0</v>
      </c>
      <c r="L151" s="641">
        <v>425000</v>
      </c>
      <c r="M151" s="641">
        <v>127500</v>
      </c>
      <c r="N151" s="642"/>
      <c r="O151" s="641">
        <f>+I151-(SUM(J151:N151))</f>
        <v>67500</v>
      </c>
    </row>
    <row r="152" spans="1:15" s="441" customFormat="1" ht="225" x14ac:dyDescent="0.2">
      <c r="A152" s="439">
        <v>6</v>
      </c>
      <c r="B152" s="438" t="s">
        <v>2819</v>
      </c>
      <c r="C152" s="440" t="s">
        <v>2820</v>
      </c>
      <c r="D152" s="639" t="s">
        <v>2821</v>
      </c>
      <c r="E152" s="640" t="s">
        <v>1251</v>
      </c>
      <c r="F152" s="435" t="s">
        <v>2659</v>
      </c>
      <c r="G152" s="435" t="s">
        <v>1763</v>
      </c>
      <c r="H152" s="436" t="s">
        <v>2900</v>
      </c>
      <c r="I152" s="641">
        <v>4338070</v>
      </c>
      <c r="J152" s="641">
        <v>0</v>
      </c>
      <c r="K152" s="641">
        <v>0</v>
      </c>
      <c r="L152" s="641">
        <v>0</v>
      </c>
      <c r="M152" s="641">
        <v>0</v>
      </c>
      <c r="N152" s="642" t="s">
        <v>1786</v>
      </c>
      <c r="O152" s="641">
        <f>+I152-(SUM(J152:N152))</f>
        <v>4338070</v>
      </c>
    </row>
    <row r="153" spans="1:15" s="441" customFormat="1" ht="187.5" x14ac:dyDescent="0.2">
      <c r="A153" s="439">
        <v>7</v>
      </c>
      <c r="B153" s="438" t="s">
        <v>2870</v>
      </c>
      <c r="C153" s="440" t="s">
        <v>2901</v>
      </c>
      <c r="D153" s="639" t="s">
        <v>2902</v>
      </c>
      <c r="E153" s="640" t="s">
        <v>1251</v>
      </c>
      <c r="F153" s="435" t="s">
        <v>2554</v>
      </c>
      <c r="G153" s="435" t="s">
        <v>1763</v>
      </c>
      <c r="H153" s="436" t="s">
        <v>2903</v>
      </c>
      <c r="I153" s="641">
        <v>200000</v>
      </c>
      <c r="J153" s="641">
        <v>0</v>
      </c>
      <c r="K153" s="641">
        <v>0</v>
      </c>
      <c r="L153" s="641">
        <v>0</v>
      </c>
      <c r="M153" s="641">
        <v>0</v>
      </c>
      <c r="N153" s="642" t="s">
        <v>1786</v>
      </c>
      <c r="O153" s="641">
        <f>+I153-(SUM(J153:N153))</f>
        <v>200000</v>
      </c>
    </row>
    <row r="154" spans="1:15" s="441" customFormat="1" x14ac:dyDescent="0.2">
      <c r="A154" s="388" t="s">
        <v>2149</v>
      </c>
      <c r="B154" s="389"/>
      <c r="C154" s="446"/>
      <c r="D154" s="637"/>
      <c r="E154" s="442"/>
      <c r="F154" s="447"/>
      <c r="G154" s="447"/>
      <c r="H154" s="448"/>
      <c r="I154" s="393">
        <f>SUM(I155:I157)</f>
        <v>684000</v>
      </c>
      <c r="J154" s="393">
        <f t="shared" ref="J154:O154" si="13">SUM(J155:J157)</f>
        <v>34200</v>
      </c>
      <c r="K154" s="393">
        <f t="shared" si="13"/>
        <v>34200</v>
      </c>
      <c r="L154" s="393">
        <f t="shared" si="13"/>
        <v>0</v>
      </c>
      <c r="M154" s="393">
        <f t="shared" si="13"/>
        <v>0</v>
      </c>
      <c r="N154" s="393"/>
      <c r="O154" s="393">
        <f t="shared" si="13"/>
        <v>615600</v>
      </c>
    </row>
    <row r="155" spans="1:15" s="441" customFormat="1" ht="93.75" x14ac:dyDescent="0.2">
      <c r="A155" s="439">
        <v>1</v>
      </c>
      <c r="B155" s="438" t="s">
        <v>2455</v>
      </c>
      <c r="C155" s="440" t="s">
        <v>2465</v>
      </c>
      <c r="D155" s="639" t="s">
        <v>2466</v>
      </c>
      <c r="E155" s="640" t="s">
        <v>2421</v>
      </c>
      <c r="F155" s="435" t="s">
        <v>2149</v>
      </c>
      <c r="G155" s="435" t="s">
        <v>2422</v>
      </c>
      <c r="H155" s="436" t="s">
        <v>2804</v>
      </c>
      <c r="I155" s="641">
        <v>100000</v>
      </c>
      <c r="J155" s="641">
        <v>5000</v>
      </c>
      <c r="K155" s="641">
        <v>5000</v>
      </c>
      <c r="L155" s="641">
        <v>0</v>
      </c>
      <c r="M155" s="641">
        <v>0</v>
      </c>
      <c r="N155" s="644"/>
      <c r="O155" s="641">
        <f>+I155-(SUM(J155:N155))</f>
        <v>90000</v>
      </c>
    </row>
    <row r="156" spans="1:15" s="441" customFormat="1" ht="168.75" x14ac:dyDescent="0.2">
      <c r="A156" s="439">
        <v>2</v>
      </c>
      <c r="B156" s="438" t="s">
        <v>2490</v>
      </c>
      <c r="C156" s="440" t="s">
        <v>2491</v>
      </c>
      <c r="D156" s="639" t="s">
        <v>2492</v>
      </c>
      <c r="E156" s="640" t="s">
        <v>2219</v>
      </c>
      <c r="F156" s="435" t="s">
        <v>2149</v>
      </c>
      <c r="G156" s="435" t="s">
        <v>2220</v>
      </c>
      <c r="H156" s="436" t="s">
        <v>2805</v>
      </c>
      <c r="I156" s="641">
        <v>234000</v>
      </c>
      <c r="J156" s="641">
        <v>11700</v>
      </c>
      <c r="K156" s="641">
        <v>11700</v>
      </c>
      <c r="L156" s="641">
        <v>0</v>
      </c>
      <c r="M156" s="641">
        <v>0</v>
      </c>
      <c r="N156" s="644"/>
      <c r="O156" s="641">
        <f>+I156-(SUM(J156:N156))</f>
        <v>210600</v>
      </c>
    </row>
    <row r="157" spans="1:15" s="441" customFormat="1" ht="93.75" x14ac:dyDescent="0.2">
      <c r="A157" s="439">
        <v>3</v>
      </c>
      <c r="B157" s="438" t="s">
        <v>2571</v>
      </c>
      <c r="C157" s="440" t="s">
        <v>2574</v>
      </c>
      <c r="D157" s="639" t="s">
        <v>2575</v>
      </c>
      <c r="E157" s="640" t="s">
        <v>2421</v>
      </c>
      <c r="F157" s="435" t="s">
        <v>2149</v>
      </c>
      <c r="G157" s="435" t="s">
        <v>2422</v>
      </c>
      <c r="H157" s="436" t="s">
        <v>2806</v>
      </c>
      <c r="I157" s="641">
        <v>350000</v>
      </c>
      <c r="J157" s="641">
        <v>17500</v>
      </c>
      <c r="K157" s="641">
        <v>17500</v>
      </c>
      <c r="L157" s="641">
        <v>0</v>
      </c>
      <c r="M157" s="641">
        <v>0</v>
      </c>
      <c r="N157" s="644"/>
      <c r="O157" s="641">
        <f>+I157-(SUM(J157:N157))</f>
        <v>315000</v>
      </c>
    </row>
    <row r="158" spans="1:15" s="441" customFormat="1" x14ac:dyDescent="0.2">
      <c r="A158" s="388" t="s">
        <v>2467</v>
      </c>
      <c r="B158" s="389"/>
      <c r="C158" s="390"/>
      <c r="D158" s="637"/>
      <c r="E158" s="388"/>
      <c r="F158" s="391"/>
      <c r="G158" s="391"/>
      <c r="H158" s="392"/>
      <c r="I158" s="393">
        <f>SUM(I159:I161)</f>
        <v>1185800</v>
      </c>
      <c r="J158" s="393">
        <f t="shared" ref="J158:O158" si="14">SUM(J159:J161)</f>
        <v>0</v>
      </c>
      <c r="K158" s="393">
        <f t="shared" si="14"/>
        <v>0</v>
      </c>
      <c r="L158" s="393">
        <f t="shared" si="14"/>
        <v>0</v>
      </c>
      <c r="M158" s="393">
        <f t="shared" si="14"/>
        <v>0</v>
      </c>
      <c r="N158" s="393"/>
      <c r="O158" s="393">
        <f t="shared" si="14"/>
        <v>1185800</v>
      </c>
    </row>
    <row r="159" spans="1:15" s="441" customFormat="1" ht="75" x14ac:dyDescent="0.2">
      <c r="A159" s="439">
        <v>1</v>
      </c>
      <c r="B159" s="438" t="s">
        <v>2478</v>
      </c>
      <c r="C159" s="440" t="s">
        <v>2493</v>
      </c>
      <c r="D159" s="639" t="s">
        <v>2494</v>
      </c>
      <c r="E159" s="640" t="s">
        <v>2223</v>
      </c>
      <c r="F159" s="435" t="s">
        <v>2467</v>
      </c>
      <c r="G159" s="435" t="s">
        <v>2154</v>
      </c>
      <c r="H159" s="436" t="s">
        <v>2811</v>
      </c>
      <c r="I159" s="641">
        <v>205000</v>
      </c>
      <c r="J159" s="641">
        <v>0</v>
      </c>
      <c r="K159" s="641">
        <v>0</v>
      </c>
      <c r="L159" s="641">
        <v>0</v>
      </c>
      <c r="M159" s="641">
        <v>0</v>
      </c>
      <c r="N159" s="642" t="s">
        <v>1786</v>
      </c>
      <c r="O159" s="641">
        <f>+I159-(SUM(J159:N159))</f>
        <v>205000</v>
      </c>
    </row>
    <row r="160" spans="1:15" s="441" customFormat="1" ht="131.25" x14ac:dyDescent="0.2">
      <c r="A160" s="439">
        <v>2</v>
      </c>
      <c r="B160" s="438" t="s">
        <v>2528</v>
      </c>
      <c r="C160" s="440" t="s">
        <v>2529</v>
      </c>
      <c r="D160" s="639" t="s">
        <v>2530</v>
      </c>
      <c r="E160" s="640" t="s">
        <v>2224</v>
      </c>
      <c r="F160" s="435" t="s">
        <v>2467</v>
      </c>
      <c r="G160" s="435" t="s">
        <v>2154</v>
      </c>
      <c r="H160" s="436" t="s">
        <v>2812</v>
      </c>
      <c r="I160" s="641">
        <v>545800</v>
      </c>
      <c r="J160" s="641">
        <v>0</v>
      </c>
      <c r="K160" s="641">
        <v>0</v>
      </c>
      <c r="L160" s="641">
        <v>0</v>
      </c>
      <c r="M160" s="641">
        <v>0</v>
      </c>
      <c r="N160" s="642" t="s">
        <v>2325</v>
      </c>
      <c r="O160" s="641">
        <f>+I160-(SUM(J160:N160))</f>
        <v>545800</v>
      </c>
    </row>
    <row r="161" spans="1:15" s="441" customFormat="1" ht="187.5" x14ac:dyDescent="0.2">
      <c r="A161" s="439">
        <v>3</v>
      </c>
      <c r="B161" s="438" t="s">
        <v>2836</v>
      </c>
      <c r="C161" s="440" t="s">
        <v>2874</v>
      </c>
      <c r="D161" s="639" t="s">
        <v>2875</v>
      </c>
      <c r="E161" s="640" t="s">
        <v>2223</v>
      </c>
      <c r="F161" s="435" t="s">
        <v>2467</v>
      </c>
      <c r="G161" s="435" t="s">
        <v>2876</v>
      </c>
      <c r="H161" s="436" t="s">
        <v>2904</v>
      </c>
      <c r="I161" s="641">
        <v>435000</v>
      </c>
      <c r="J161" s="641">
        <v>0</v>
      </c>
      <c r="K161" s="641">
        <v>0</v>
      </c>
      <c r="L161" s="641">
        <v>0</v>
      </c>
      <c r="M161" s="641">
        <v>0</v>
      </c>
      <c r="N161" s="642" t="s">
        <v>1786</v>
      </c>
      <c r="O161" s="641">
        <f>+I161-(SUM(J161:N161))</f>
        <v>435000</v>
      </c>
    </row>
    <row r="162" spans="1:15" s="441" customFormat="1" x14ac:dyDescent="0.2">
      <c r="A162" s="388" t="s">
        <v>2555</v>
      </c>
      <c r="B162" s="389"/>
      <c r="C162" s="390"/>
      <c r="D162" s="637"/>
      <c r="E162" s="388"/>
      <c r="F162" s="391"/>
      <c r="G162" s="391"/>
      <c r="H162" s="392"/>
      <c r="I162" s="393">
        <f>SUM(I163)</f>
        <v>4407293.5</v>
      </c>
      <c r="J162" s="393">
        <f t="shared" ref="J162:O162" si="15">SUM(J163)</f>
        <v>0</v>
      </c>
      <c r="K162" s="393">
        <f t="shared" si="15"/>
        <v>0</v>
      </c>
      <c r="L162" s="393">
        <f t="shared" si="15"/>
        <v>0</v>
      </c>
      <c r="M162" s="393">
        <f t="shared" si="15"/>
        <v>0</v>
      </c>
      <c r="N162" s="393"/>
      <c r="O162" s="393">
        <f t="shared" si="15"/>
        <v>4407293.5</v>
      </c>
    </row>
    <row r="163" spans="1:15" s="441" customFormat="1" ht="150" x14ac:dyDescent="0.2">
      <c r="A163" s="439">
        <v>1</v>
      </c>
      <c r="B163" s="438" t="s">
        <v>2566</v>
      </c>
      <c r="C163" s="440" t="s">
        <v>2576</v>
      </c>
      <c r="D163" s="639" t="s">
        <v>2577</v>
      </c>
      <c r="E163" s="640" t="s">
        <v>2578</v>
      </c>
      <c r="F163" s="435" t="s">
        <v>2555</v>
      </c>
      <c r="G163" s="435" t="s">
        <v>930</v>
      </c>
      <c r="H163" s="436" t="s">
        <v>2813</v>
      </c>
      <c r="I163" s="641">
        <v>4407293.5</v>
      </c>
      <c r="J163" s="641">
        <v>0</v>
      </c>
      <c r="K163" s="641">
        <v>0</v>
      </c>
      <c r="L163" s="641">
        <v>0</v>
      </c>
      <c r="M163" s="641">
        <v>0</v>
      </c>
      <c r="N163" s="642" t="s">
        <v>2579</v>
      </c>
      <c r="O163" s="641">
        <f>+I163-(SUM(J163:N163))</f>
        <v>4407293.5</v>
      </c>
    </row>
    <row r="164" spans="1:15" s="386" customFormat="1" ht="26.25" customHeight="1" thickBot="1" x14ac:dyDescent="0.5">
      <c r="A164" s="649" t="s">
        <v>1919</v>
      </c>
      <c r="B164" s="650"/>
      <c r="C164" s="650"/>
      <c r="D164" s="650"/>
      <c r="E164" s="650"/>
      <c r="F164" s="650"/>
      <c r="G164" s="650"/>
      <c r="H164" s="651"/>
      <c r="I164" s="653">
        <f>SUM(I8+I16+I26+I30+I55+I59+I97+I102+I114+I135+I137+I146+I144+I154+I158+I162)</f>
        <v>51156312.100000001</v>
      </c>
      <c r="J164" s="654">
        <f t="shared" ref="J164:O164" si="16">SUM(J8+J16+J26+J30+J55+J59+J97+J102+J114+J135+J137+J146+J144+J154+J158+J162)</f>
        <v>765630.598</v>
      </c>
      <c r="K164" s="654">
        <f t="shared" si="16"/>
        <v>765630.598</v>
      </c>
      <c r="L164" s="655">
        <f t="shared" si="16"/>
        <v>957954</v>
      </c>
      <c r="M164" s="655">
        <f t="shared" si="16"/>
        <v>957954</v>
      </c>
      <c r="N164" s="655"/>
      <c r="O164" s="656">
        <f t="shared" si="16"/>
        <v>47709142.903999999</v>
      </c>
    </row>
    <row r="166" spans="1:15" x14ac:dyDescent="0.4">
      <c r="J166" s="369"/>
      <c r="K166" s="369"/>
      <c r="L166" s="369"/>
      <c r="M166" s="369"/>
      <c r="N166" s="652"/>
      <c r="O166" s="369"/>
    </row>
    <row r="167" spans="1:15" x14ac:dyDescent="0.4">
      <c r="J167" s="369"/>
      <c r="K167" s="369"/>
      <c r="L167" s="369"/>
      <c r="M167" s="369"/>
      <c r="N167" s="369"/>
      <c r="O167" s="369"/>
    </row>
  </sheetData>
  <mergeCells count="18">
    <mergeCell ref="G6:G7"/>
    <mergeCell ref="H6:H7"/>
    <mergeCell ref="A164:H164"/>
    <mergeCell ref="I6:I7"/>
    <mergeCell ref="J6:K6"/>
    <mergeCell ref="A1:O1"/>
    <mergeCell ref="A2:O2"/>
    <mergeCell ref="A3:O3"/>
    <mergeCell ref="A5:A7"/>
    <mergeCell ref="B5:I5"/>
    <mergeCell ref="J5:N5"/>
    <mergeCell ref="O5:O7"/>
    <mergeCell ref="B6:B7"/>
    <mergeCell ref="C6:C7"/>
    <mergeCell ref="D6:D7"/>
    <mergeCell ref="L6:N6"/>
    <mergeCell ref="E6:E7"/>
    <mergeCell ref="F6: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4" zoomScaleNormal="100" workbookViewId="0">
      <selection activeCell="F30" sqref="F30"/>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10" width="9" style="325"/>
    <col min="11" max="11" width="10.5" style="325" bestFit="1" customWidth="1"/>
    <col min="12" max="12" width="33.25" style="325" bestFit="1" customWidth="1"/>
    <col min="13"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266" width="9" style="325"/>
    <col min="267" max="267" width="10.5" style="325" bestFit="1" customWidth="1"/>
    <col min="268" max="268" width="33.25" style="325" bestFit="1" customWidth="1"/>
    <col min="269"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522" width="9" style="325"/>
    <col min="523" max="523" width="10.5" style="325" bestFit="1" customWidth="1"/>
    <col min="524" max="524" width="33.25" style="325" bestFit="1" customWidth="1"/>
    <col min="525"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778" width="9" style="325"/>
    <col min="779" max="779" width="10.5" style="325" bestFit="1" customWidth="1"/>
    <col min="780" max="780" width="33.25" style="325" bestFit="1" customWidth="1"/>
    <col min="781"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034" width="9" style="325"/>
    <col min="1035" max="1035" width="10.5" style="325" bestFit="1" customWidth="1"/>
    <col min="1036" max="1036" width="33.25" style="325" bestFit="1" customWidth="1"/>
    <col min="1037"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290" width="9" style="325"/>
    <col min="1291" max="1291" width="10.5" style="325" bestFit="1" customWidth="1"/>
    <col min="1292" max="1292" width="33.25" style="325" bestFit="1" customWidth="1"/>
    <col min="1293"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546" width="9" style="325"/>
    <col min="1547" max="1547" width="10.5" style="325" bestFit="1" customWidth="1"/>
    <col min="1548" max="1548" width="33.25" style="325" bestFit="1" customWidth="1"/>
    <col min="1549"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1802" width="9" style="325"/>
    <col min="1803" max="1803" width="10.5" style="325" bestFit="1" customWidth="1"/>
    <col min="1804" max="1804" width="33.25" style="325" bestFit="1" customWidth="1"/>
    <col min="1805"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058" width="9" style="325"/>
    <col min="2059" max="2059" width="10.5" style="325" bestFit="1" customWidth="1"/>
    <col min="2060" max="2060" width="33.25" style="325" bestFit="1" customWidth="1"/>
    <col min="2061"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314" width="9" style="325"/>
    <col min="2315" max="2315" width="10.5" style="325" bestFit="1" customWidth="1"/>
    <col min="2316" max="2316" width="33.25" style="325" bestFit="1" customWidth="1"/>
    <col min="2317"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570" width="9" style="325"/>
    <col min="2571" max="2571" width="10.5" style="325" bestFit="1" customWidth="1"/>
    <col min="2572" max="2572" width="33.25" style="325" bestFit="1" customWidth="1"/>
    <col min="2573"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2826" width="9" style="325"/>
    <col min="2827" max="2827" width="10.5" style="325" bestFit="1" customWidth="1"/>
    <col min="2828" max="2828" width="33.25" style="325" bestFit="1" customWidth="1"/>
    <col min="2829"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082" width="9" style="325"/>
    <col min="3083" max="3083" width="10.5" style="325" bestFit="1" customWidth="1"/>
    <col min="3084" max="3084" width="33.25" style="325" bestFit="1" customWidth="1"/>
    <col min="3085"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338" width="9" style="325"/>
    <col min="3339" max="3339" width="10.5" style="325" bestFit="1" customWidth="1"/>
    <col min="3340" max="3340" width="33.25" style="325" bestFit="1" customWidth="1"/>
    <col min="3341"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594" width="9" style="325"/>
    <col min="3595" max="3595" width="10.5" style="325" bestFit="1" customWidth="1"/>
    <col min="3596" max="3596" width="33.25" style="325" bestFit="1" customWidth="1"/>
    <col min="3597"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3850" width="9" style="325"/>
    <col min="3851" max="3851" width="10.5" style="325" bestFit="1" customWidth="1"/>
    <col min="3852" max="3852" width="33.25" style="325" bestFit="1" customWidth="1"/>
    <col min="3853"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106" width="9" style="325"/>
    <col min="4107" max="4107" width="10.5" style="325" bestFit="1" customWidth="1"/>
    <col min="4108" max="4108" width="33.25" style="325" bestFit="1" customWidth="1"/>
    <col min="4109"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362" width="9" style="325"/>
    <col min="4363" max="4363" width="10.5" style="325" bestFit="1" customWidth="1"/>
    <col min="4364" max="4364" width="33.25" style="325" bestFit="1" customWidth="1"/>
    <col min="4365"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618" width="9" style="325"/>
    <col min="4619" max="4619" width="10.5" style="325" bestFit="1" customWidth="1"/>
    <col min="4620" max="4620" width="33.25" style="325" bestFit="1" customWidth="1"/>
    <col min="4621"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4874" width="9" style="325"/>
    <col min="4875" max="4875" width="10.5" style="325" bestFit="1" customWidth="1"/>
    <col min="4876" max="4876" width="33.25" style="325" bestFit="1" customWidth="1"/>
    <col min="4877"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130" width="9" style="325"/>
    <col min="5131" max="5131" width="10.5" style="325" bestFit="1" customWidth="1"/>
    <col min="5132" max="5132" width="33.25" style="325" bestFit="1" customWidth="1"/>
    <col min="5133"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386" width="9" style="325"/>
    <col min="5387" max="5387" width="10.5" style="325" bestFit="1" customWidth="1"/>
    <col min="5388" max="5388" width="33.25" style="325" bestFit="1" customWidth="1"/>
    <col min="5389"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642" width="9" style="325"/>
    <col min="5643" max="5643" width="10.5" style="325" bestFit="1" customWidth="1"/>
    <col min="5644" max="5644" width="33.25" style="325" bestFit="1" customWidth="1"/>
    <col min="5645"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5898" width="9" style="325"/>
    <col min="5899" max="5899" width="10.5" style="325" bestFit="1" customWidth="1"/>
    <col min="5900" max="5900" width="33.25" style="325" bestFit="1" customWidth="1"/>
    <col min="5901"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154" width="9" style="325"/>
    <col min="6155" max="6155" width="10.5" style="325" bestFit="1" customWidth="1"/>
    <col min="6156" max="6156" width="33.25" style="325" bestFit="1" customWidth="1"/>
    <col min="6157"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410" width="9" style="325"/>
    <col min="6411" max="6411" width="10.5" style="325" bestFit="1" customWidth="1"/>
    <col min="6412" max="6412" width="33.25" style="325" bestFit="1" customWidth="1"/>
    <col min="6413"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666" width="9" style="325"/>
    <col min="6667" max="6667" width="10.5" style="325" bestFit="1" customWidth="1"/>
    <col min="6668" max="6668" width="33.25" style="325" bestFit="1" customWidth="1"/>
    <col min="6669"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6922" width="9" style="325"/>
    <col min="6923" max="6923" width="10.5" style="325" bestFit="1" customWidth="1"/>
    <col min="6924" max="6924" width="33.25" style="325" bestFit="1" customWidth="1"/>
    <col min="6925"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178" width="9" style="325"/>
    <col min="7179" max="7179" width="10.5" style="325" bestFit="1" customWidth="1"/>
    <col min="7180" max="7180" width="33.25" style="325" bestFit="1" customWidth="1"/>
    <col min="7181"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434" width="9" style="325"/>
    <col min="7435" max="7435" width="10.5" style="325" bestFit="1" customWidth="1"/>
    <col min="7436" max="7436" width="33.25" style="325" bestFit="1" customWidth="1"/>
    <col min="7437"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690" width="9" style="325"/>
    <col min="7691" max="7691" width="10.5" style="325" bestFit="1" customWidth="1"/>
    <col min="7692" max="7692" width="33.25" style="325" bestFit="1" customWidth="1"/>
    <col min="7693"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7946" width="9" style="325"/>
    <col min="7947" max="7947" width="10.5" style="325" bestFit="1" customWidth="1"/>
    <col min="7948" max="7948" width="33.25" style="325" bestFit="1" customWidth="1"/>
    <col min="7949"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202" width="9" style="325"/>
    <col min="8203" max="8203" width="10.5" style="325" bestFit="1" customWidth="1"/>
    <col min="8204" max="8204" width="33.25" style="325" bestFit="1" customWidth="1"/>
    <col min="8205"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458" width="9" style="325"/>
    <col min="8459" max="8459" width="10.5" style="325" bestFit="1" customWidth="1"/>
    <col min="8460" max="8460" width="33.25" style="325" bestFit="1" customWidth="1"/>
    <col min="8461"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714" width="9" style="325"/>
    <col min="8715" max="8715" width="10.5" style="325" bestFit="1" customWidth="1"/>
    <col min="8716" max="8716" width="33.25" style="325" bestFit="1" customWidth="1"/>
    <col min="8717"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8970" width="9" style="325"/>
    <col min="8971" max="8971" width="10.5" style="325" bestFit="1" customWidth="1"/>
    <col min="8972" max="8972" width="33.25" style="325" bestFit="1" customWidth="1"/>
    <col min="8973"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226" width="9" style="325"/>
    <col min="9227" max="9227" width="10.5" style="325" bestFit="1" customWidth="1"/>
    <col min="9228" max="9228" width="33.25" style="325" bestFit="1" customWidth="1"/>
    <col min="9229"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482" width="9" style="325"/>
    <col min="9483" max="9483" width="10.5" style="325" bestFit="1" customWidth="1"/>
    <col min="9484" max="9484" width="33.25" style="325" bestFit="1" customWidth="1"/>
    <col min="9485"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738" width="9" style="325"/>
    <col min="9739" max="9739" width="10.5" style="325" bestFit="1" customWidth="1"/>
    <col min="9740" max="9740" width="33.25" style="325" bestFit="1" customWidth="1"/>
    <col min="9741"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9994" width="9" style="325"/>
    <col min="9995" max="9995" width="10.5" style="325" bestFit="1" customWidth="1"/>
    <col min="9996" max="9996" width="33.25" style="325" bestFit="1" customWidth="1"/>
    <col min="9997"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250" width="9" style="325"/>
    <col min="10251" max="10251" width="10.5" style="325" bestFit="1" customWidth="1"/>
    <col min="10252" max="10252" width="33.25" style="325" bestFit="1" customWidth="1"/>
    <col min="10253"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506" width="9" style="325"/>
    <col min="10507" max="10507" width="10.5" style="325" bestFit="1" customWidth="1"/>
    <col min="10508" max="10508" width="33.25" style="325" bestFit="1" customWidth="1"/>
    <col min="10509"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0762" width="9" style="325"/>
    <col min="10763" max="10763" width="10.5" style="325" bestFit="1" customWidth="1"/>
    <col min="10764" max="10764" width="33.25" style="325" bestFit="1" customWidth="1"/>
    <col min="10765"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018" width="9" style="325"/>
    <col min="11019" max="11019" width="10.5" style="325" bestFit="1" customWidth="1"/>
    <col min="11020" max="11020" width="33.25" style="325" bestFit="1" customWidth="1"/>
    <col min="11021"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274" width="9" style="325"/>
    <col min="11275" max="11275" width="10.5" style="325" bestFit="1" customWidth="1"/>
    <col min="11276" max="11276" width="33.25" style="325" bestFit="1" customWidth="1"/>
    <col min="11277"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530" width="9" style="325"/>
    <col min="11531" max="11531" width="10.5" style="325" bestFit="1" customWidth="1"/>
    <col min="11532" max="11532" width="33.25" style="325" bestFit="1" customWidth="1"/>
    <col min="11533"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1786" width="9" style="325"/>
    <col min="11787" max="11787" width="10.5" style="325" bestFit="1" customWidth="1"/>
    <col min="11788" max="11788" width="33.25" style="325" bestFit="1" customWidth="1"/>
    <col min="11789"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042" width="9" style="325"/>
    <col min="12043" max="12043" width="10.5" style="325" bestFit="1" customWidth="1"/>
    <col min="12044" max="12044" width="33.25" style="325" bestFit="1" customWidth="1"/>
    <col min="12045"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298" width="9" style="325"/>
    <col min="12299" max="12299" width="10.5" style="325" bestFit="1" customWidth="1"/>
    <col min="12300" max="12300" width="33.25" style="325" bestFit="1" customWidth="1"/>
    <col min="12301"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554" width="9" style="325"/>
    <col min="12555" max="12555" width="10.5" style="325" bestFit="1" customWidth="1"/>
    <col min="12556" max="12556" width="33.25" style="325" bestFit="1" customWidth="1"/>
    <col min="12557"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2810" width="9" style="325"/>
    <col min="12811" max="12811" width="10.5" style="325" bestFit="1" customWidth="1"/>
    <col min="12812" max="12812" width="33.25" style="325" bestFit="1" customWidth="1"/>
    <col min="12813"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066" width="9" style="325"/>
    <col min="13067" max="13067" width="10.5" style="325" bestFit="1" customWidth="1"/>
    <col min="13068" max="13068" width="33.25" style="325" bestFit="1" customWidth="1"/>
    <col min="13069"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322" width="9" style="325"/>
    <col min="13323" max="13323" width="10.5" style="325" bestFit="1" customWidth="1"/>
    <col min="13324" max="13324" width="33.25" style="325" bestFit="1" customWidth="1"/>
    <col min="13325"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578" width="9" style="325"/>
    <col min="13579" max="13579" width="10.5" style="325" bestFit="1" customWidth="1"/>
    <col min="13580" max="13580" width="33.25" style="325" bestFit="1" customWidth="1"/>
    <col min="13581"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3834" width="9" style="325"/>
    <col min="13835" max="13835" width="10.5" style="325" bestFit="1" customWidth="1"/>
    <col min="13836" max="13836" width="33.25" style="325" bestFit="1" customWidth="1"/>
    <col min="13837"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090" width="9" style="325"/>
    <col min="14091" max="14091" width="10.5" style="325" bestFit="1" customWidth="1"/>
    <col min="14092" max="14092" width="33.25" style="325" bestFit="1" customWidth="1"/>
    <col min="14093"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346" width="9" style="325"/>
    <col min="14347" max="14347" width="10.5" style="325" bestFit="1" customWidth="1"/>
    <col min="14348" max="14348" width="33.25" style="325" bestFit="1" customWidth="1"/>
    <col min="14349"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602" width="9" style="325"/>
    <col min="14603" max="14603" width="10.5" style="325" bestFit="1" customWidth="1"/>
    <col min="14604" max="14604" width="33.25" style="325" bestFit="1" customWidth="1"/>
    <col min="14605"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4858" width="9" style="325"/>
    <col min="14859" max="14859" width="10.5" style="325" bestFit="1" customWidth="1"/>
    <col min="14860" max="14860" width="33.25" style="325" bestFit="1" customWidth="1"/>
    <col min="14861"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114" width="9" style="325"/>
    <col min="15115" max="15115" width="10.5" style="325" bestFit="1" customWidth="1"/>
    <col min="15116" max="15116" width="33.25" style="325" bestFit="1" customWidth="1"/>
    <col min="15117"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370" width="9" style="325"/>
    <col min="15371" max="15371" width="10.5" style="325" bestFit="1" customWidth="1"/>
    <col min="15372" max="15372" width="33.25" style="325" bestFit="1" customWidth="1"/>
    <col min="15373"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626" width="9" style="325"/>
    <col min="15627" max="15627" width="10.5" style="325" bestFit="1" customWidth="1"/>
    <col min="15628" max="15628" width="33.25" style="325" bestFit="1" customWidth="1"/>
    <col min="15629"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5882" width="9" style="325"/>
    <col min="15883" max="15883" width="10.5" style="325" bestFit="1" customWidth="1"/>
    <col min="15884" max="15884" width="33.25" style="325" bestFit="1" customWidth="1"/>
    <col min="15885"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138" width="9" style="325"/>
    <col min="16139" max="16139" width="10.5" style="325" bestFit="1" customWidth="1"/>
    <col min="16140" max="16140" width="33.25" style="325" bestFit="1" customWidth="1"/>
    <col min="16141" max="16384" width="9" style="325"/>
  </cols>
  <sheetData>
    <row r="1" spans="1:11" s="298" customFormat="1" x14ac:dyDescent="0.5">
      <c r="A1" s="496" t="s">
        <v>1913</v>
      </c>
      <c r="B1" s="496"/>
      <c r="C1" s="496"/>
      <c r="D1" s="496"/>
      <c r="E1" s="496"/>
      <c r="F1" s="496"/>
      <c r="G1" s="496"/>
      <c r="H1" s="496"/>
      <c r="I1" s="496"/>
    </row>
    <row r="2" spans="1:11" s="298" customFormat="1" x14ac:dyDescent="0.5">
      <c r="A2" s="496" t="s">
        <v>2125</v>
      </c>
      <c r="B2" s="496"/>
      <c r="C2" s="496"/>
      <c r="D2" s="496"/>
      <c r="E2" s="496"/>
      <c r="F2" s="496"/>
      <c r="G2" s="496"/>
      <c r="H2" s="496"/>
      <c r="I2" s="496"/>
    </row>
    <row r="3" spans="1:11" s="298" customFormat="1" x14ac:dyDescent="0.5">
      <c r="A3" s="496" t="s">
        <v>2262</v>
      </c>
      <c r="B3" s="496"/>
      <c r="C3" s="496"/>
      <c r="D3" s="496"/>
      <c r="E3" s="496"/>
      <c r="F3" s="496"/>
      <c r="G3" s="496"/>
      <c r="H3" s="496"/>
      <c r="I3" s="496"/>
    </row>
    <row r="4" spans="1:11" s="301" customFormat="1" ht="14.25" customHeight="1" x14ac:dyDescent="0.45">
      <c r="A4" s="299"/>
      <c r="B4" s="299"/>
      <c r="C4" s="300"/>
    </row>
    <row r="5" spans="1:11" s="303" customFormat="1" ht="42" customHeight="1" x14ac:dyDescent="0.45">
      <c r="A5" s="497" t="s">
        <v>253</v>
      </c>
      <c r="B5" s="497" t="s">
        <v>1915</v>
      </c>
      <c r="C5" s="498" t="s">
        <v>263</v>
      </c>
      <c r="D5" s="499" t="s">
        <v>2148</v>
      </c>
      <c r="E5" s="499"/>
      <c r="F5" s="499"/>
      <c r="G5" s="499"/>
      <c r="H5" s="499"/>
      <c r="I5" s="500" t="s">
        <v>256</v>
      </c>
      <c r="J5" s="302"/>
    </row>
    <row r="6" spans="1:11" s="304" customFormat="1" ht="65.25" customHeight="1" x14ac:dyDescent="0.2">
      <c r="A6" s="497"/>
      <c r="B6" s="497"/>
      <c r="C6" s="498"/>
      <c r="D6" s="503" t="s">
        <v>2239</v>
      </c>
      <c r="E6" s="504"/>
      <c r="F6" s="505" t="s">
        <v>265</v>
      </c>
      <c r="G6" s="506"/>
      <c r="H6" s="507"/>
      <c r="I6" s="501"/>
    </row>
    <row r="7" spans="1:11" s="303" customFormat="1" ht="36" customHeight="1" x14ac:dyDescent="0.45">
      <c r="A7" s="497"/>
      <c r="B7" s="497"/>
      <c r="C7" s="498"/>
      <c r="D7" s="305" t="s">
        <v>1916</v>
      </c>
      <c r="E7" s="305" t="s">
        <v>1917</v>
      </c>
      <c r="F7" s="306" t="s">
        <v>1916</v>
      </c>
      <c r="G7" s="306" t="s">
        <v>1917</v>
      </c>
      <c r="H7" s="306" t="s">
        <v>1918</v>
      </c>
      <c r="I7" s="502"/>
      <c r="J7" s="302"/>
    </row>
    <row r="8" spans="1:11" s="310" customFormat="1" ht="20.25" customHeight="1" x14ac:dyDescent="0.2">
      <c r="A8" s="307">
        <v>1</v>
      </c>
      <c r="B8" s="308" t="s">
        <v>739</v>
      </c>
      <c r="C8" s="309">
        <v>3208160</v>
      </c>
      <c r="D8" s="309">
        <v>0</v>
      </c>
      <c r="E8" s="309">
        <v>0</v>
      </c>
      <c r="F8" s="309">
        <v>22150</v>
      </c>
      <c r="G8" s="309">
        <v>22150</v>
      </c>
      <c r="H8" s="309">
        <v>0</v>
      </c>
      <c r="I8" s="309">
        <v>3163860</v>
      </c>
      <c r="K8" s="380"/>
    </row>
    <row r="9" spans="1:11" s="313" customFormat="1" ht="20.25" customHeight="1" x14ac:dyDescent="0.2">
      <c r="A9" s="311">
        <v>2</v>
      </c>
      <c r="B9" s="308" t="s">
        <v>360</v>
      </c>
      <c r="C9" s="312">
        <v>245100</v>
      </c>
      <c r="D9" s="312">
        <v>0</v>
      </c>
      <c r="E9" s="312">
        <v>0</v>
      </c>
      <c r="F9" s="312">
        <v>19608</v>
      </c>
      <c r="G9" s="312">
        <v>19608</v>
      </c>
      <c r="H9" s="312">
        <v>0</v>
      </c>
      <c r="I9" s="309">
        <v>205884</v>
      </c>
      <c r="K9" s="381"/>
    </row>
    <row r="10" spans="1:11" s="313" customFormat="1" ht="20.25" customHeight="1" x14ac:dyDescent="0.2">
      <c r="A10" s="307">
        <v>3</v>
      </c>
      <c r="B10" s="308" t="s">
        <v>2126</v>
      </c>
      <c r="C10" s="312">
        <v>171000</v>
      </c>
      <c r="D10" s="312">
        <v>0</v>
      </c>
      <c r="E10" s="312">
        <v>0</v>
      </c>
      <c r="F10" s="312">
        <v>8550</v>
      </c>
      <c r="G10" s="312">
        <v>8550</v>
      </c>
      <c r="H10" s="312">
        <v>0</v>
      </c>
      <c r="I10" s="309">
        <v>153900</v>
      </c>
      <c r="K10" s="381"/>
    </row>
    <row r="11" spans="1:11" s="317" customFormat="1" ht="20.25" customHeight="1" x14ac:dyDescent="0.2">
      <c r="A11" s="311">
        <v>4</v>
      </c>
      <c r="B11" s="315" t="s">
        <v>1693</v>
      </c>
      <c r="C11" s="316">
        <v>8037163.7300000004</v>
      </c>
      <c r="D11" s="316">
        <v>231874.92</v>
      </c>
      <c r="E11" s="316">
        <v>231874.92</v>
      </c>
      <c r="F11" s="316">
        <v>48978.15</v>
      </c>
      <c r="G11" s="316">
        <v>48978.15</v>
      </c>
      <c r="H11" s="316">
        <v>0</v>
      </c>
      <c r="I11" s="309">
        <v>7475457.5899999999</v>
      </c>
      <c r="K11" s="382"/>
    </row>
    <row r="12" spans="1:11" s="313" customFormat="1" ht="20.25" customHeight="1" x14ac:dyDescent="0.2">
      <c r="A12" s="307">
        <v>5</v>
      </c>
      <c r="B12" s="308" t="s">
        <v>512</v>
      </c>
      <c r="C12" s="312">
        <v>5051998</v>
      </c>
      <c r="D12" s="312">
        <v>4500</v>
      </c>
      <c r="E12" s="312">
        <v>4500</v>
      </c>
      <c r="F12" s="312">
        <v>180999</v>
      </c>
      <c r="G12" s="312">
        <v>180999</v>
      </c>
      <c r="H12" s="312">
        <v>0</v>
      </c>
      <c r="I12" s="309">
        <v>4681000</v>
      </c>
      <c r="K12" s="381"/>
    </row>
    <row r="13" spans="1:11" s="313" customFormat="1" ht="20.25" customHeight="1" x14ac:dyDescent="0.2">
      <c r="A13" s="311">
        <v>6</v>
      </c>
      <c r="B13" s="308" t="s">
        <v>22</v>
      </c>
      <c r="C13" s="312">
        <v>7753609</v>
      </c>
      <c r="D13" s="312">
        <v>75942.5</v>
      </c>
      <c r="E13" s="312">
        <v>75942.5</v>
      </c>
      <c r="F13" s="312">
        <v>26227.5</v>
      </c>
      <c r="G13" s="312">
        <v>26227.5</v>
      </c>
      <c r="H13" s="312">
        <v>0</v>
      </c>
      <c r="I13" s="309">
        <v>7549269</v>
      </c>
      <c r="K13" s="381"/>
    </row>
    <row r="14" spans="1:11" s="313" customFormat="1" ht="20.25" customHeight="1" x14ac:dyDescent="0.2">
      <c r="A14" s="307">
        <v>7</v>
      </c>
      <c r="B14" s="308" t="s">
        <v>1229</v>
      </c>
      <c r="C14" s="312">
        <v>1525679</v>
      </c>
      <c r="D14" s="312">
        <v>0</v>
      </c>
      <c r="E14" s="312">
        <v>0</v>
      </c>
      <c r="F14" s="312">
        <v>8407.5</v>
      </c>
      <c r="G14" s="312">
        <v>8407.5</v>
      </c>
      <c r="H14" s="312">
        <v>0</v>
      </c>
      <c r="I14" s="309">
        <v>1508864</v>
      </c>
      <c r="K14" s="381"/>
    </row>
    <row r="15" spans="1:11" s="317" customFormat="1" ht="20.25" customHeight="1" x14ac:dyDescent="0.2">
      <c r="A15" s="311">
        <v>8</v>
      </c>
      <c r="B15" s="315" t="s">
        <v>308</v>
      </c>
      <c r="C15" s="316">
        <v>662200</v>
      </c>
      <c r="D15" s="316">
        <v>0</v>
      </c>
      <c r="E15" s="316">
        <v>0</v>
      </c>
      <c r="F15" s="316">
        <v>4895</v>
      </c>
      <c r="G15" s="316">
        <v>4895</v>
      </c>
      <c r="H15" s="316">
        <v>0</v>
      </c>
      <c r="I15" s="309">
        <v>652410</v>
      </c>
      <c r="K15" s="382"/>
    </row>
    <row r="16" spans="1:11" s="313" customFormat="1" ht="20.25" customHeight="1" x14ac:dyDescent="0.2">
      <c r="A16" s="307">
        <v>9</v>
      </c>
      <c r="B16" s="308" t="s">
        <v>19</v>
      </c>
      <c r="C16" s="312">
        <v>2444000</v>
      </c>
      <c r="D16" s="312">
        <v>24200</v>
      </c>
      <c r="E16" s="312">
        <v>24200</v>
      </c>
      <c r="F16" s="312">
        <v>8550</v>
      </c>
      <c r="G16" s="312">
        <v>8550</v>
      </c>
      <c r="H16" s="312">
        <v>0</v>
      </c>
      <c r="I16" s="309">
        <v>2378500</v>
      </c>
      <c r="K16" s="381"/>
    </row>
    <row r="17" spans="1:11" s="313" customFormat="1" ht="20.25" customHeight="1" x14ac:dyDescent="0.2">
      <c r="A17" s="311">
        <v>10</v>
      </c>
      <c r="B17" s="308" t="s">
        <v>1067</v>
      </c>
      <c r="C17" s="312">
        <v>4988510</v>
      </c>
      <c r="D17" s="312">
        <v>247370</v>
      </c>
      <c r="E17" s="312">
        <v>247370</v>
      </c>
      <c r="F17" s="312">
        <v>5700</v>
      </c>
      <c r="G17" s="312">
        <v>5700</v>
      </c>
      <c r="H17" s="312">
        <v>0</v>
      </c>
      <c r="I17" s="309">
        <v>4482370</v>
      </c>
      <c r="K17" s="381"/>
    </row>
    <row r="18" spans="1:11" s="317" customFormat="1" ht="20.25" customHeight="1" x14ac:dyDescent="0.2">
      <c r="A18" s="307">
        <v>11</v>
      </c>
      <c r="B18" s="315" t="s">
        <v>2209</v>
      </c>
      <c r="C18" s="316">
        <v>1822112.8199999998</v>
      </c>
      <c r="D18" s="316">
        <v>0</v>
      </c>
      <c r="E18" s="316">
        <v>0</v>
      </c>
      <c r="F18" s="316">
        <v>51506.909999999996</v>
      </c>
      <c r="G18" s="316">
        <v>51506.909999999996</v>
      </c>
      <c r="H18" s="316">
        <v>0</v>
      </c>
      <c r="I18" s="309">
        <v>1719099</v>
      </c>
      <c r="K18" s="382"/>
    </row>
    <row r="19" spans="1:11" s="317" customFormat="1" ht="20.25" customHeight="1" x14ac:dyDescent="0.2">
      <c r="A19" s="307">
        <v>12</v>
      </c>
      <c r="B19" s="315" t="s">
        <v>2263</v>
      </c>
      <c r="C19" s="316">
        <v>7175934.3900000006</v>
      </c>
      <c r="D19" s="316">
        <v>40000</v>
      </c>
      <c r="E19" s="316">
        <v>40000</v>
      </c>
      <c r="F19" s="316">
        <v>569500</v>
      </c>
      <c r="G19" s="316">
        <v>569500</v>
      </c>
      <c r="H19" s="316">
        <v>0</v>
      </c>
      <c r="I19" s="309">
        <v>5956934.3900000006</v>
      </c>
      <c r="K19" s="382"/>
    </row>
    <row r="20" spans="1:11" s="313" customFormat="1" ht="20.25" customHeight="1" x14ac:dyDescent="0.2">
      <c r="A20" s="311">
        <v>13</v>
      </c>
      <c r="B20" s="308" t="s">
        <v>923</v>
      </c>
      <c r="C20" s="312">
        <v>850473.5</v>
      </c>
      <c r="D20" s="312">
        <v>0</v>
      </c>
      <c r="E20" s="312">
        <v>0</v>
      </c>
      <c r="F20" s="312">
        <v>8909.25</v>
      </c>
      <c r="G20" s="312">
        <v>8909.25</v>
      </c>
      <c r="H20" s="312">
        <v>0</v>
      </c>
      <c r="I20" s="309">
        <v>832655</v>
      </c>
      <c r="K20" s="381"/>
    </row>
    <row r="21" spans="1:11" s="313" customFormat="1" ht="20.25" customHeight="1" x14ac:dyDescent="0.2">
      <c r="A21" s="307">
        <v>14</v>
      </c>
      <c r="B21" s="308" t="s">
        <v>283</v>
      </c>
      <c r="C21" s="312">
        <v>672000</v>
      </c>
      <c r="D21" s="312">
        <v>0</v>
      </c>
      <c r="E21" s="312">
        <v>0</v>
      </c>
      <c r="F21" s="312">
        <v>0</v>
      </c>
      <c r="G21" s="312">
        <v>0</v>
      </c>
      <c r="H21" s="312">
        <v>0</v>
      </c>
      <c r="I21" s="309">
        <v>672000</v>
      </c>
      <c r="K21" s="381"/>
    </row>
    <row r="22" spans="1:11" s="317" customFormat="1" ht="20.25" customHeight="1" x14ac:dyDescent="0.2">
      <c r="A22" s="311">
        <v>15</v>
      </c>
      <c r="B22" s="315" t="s">
        <v>2149</v>
      </c>
      <c r="C22" s="316">
        <v>1322200</v>
      </c>
      <c r="D22" s="316">
        <v>15000</v>
      </c>
      <c r="E22" s="316">
        <v>15000</v>
      </c>
      <c r="F22" s="316">
        <v>0</v>
      </c>
      <c r="G22" s="316">
        <v>0</v>
      </c>
      <c r="H22" s="316">
        <v>0</v>
      </c>
      <c r="I22" s="309">
        <v>1292200</v>
      </c>
      <c r="K22" s="382"/>
    </row>
    <row r="23" spans="1:11" s="317" customFormat="1" ht="20.25" customHeight="1" x14ac:dyDescent="0.2">
      <c r="A23" s="307">
        <v>16</v>
      </c>
      <c r="B23" s="315" t="s">
        <v>2264</v>
      </c>
      <c r="C23" s="316">
        <v>500000</v>
      </c>
      <c r="D23" s="316">
        <v>0</v>
      </c>
      <c r="E23" s="316">
        <v>0</v>
      </c>
      <c r="F23" s="316">
        <v>21091</v>
      </c>
      <c r="G23" s="316">
        <v>21091</v>
      </c>
      <c r="H23" s="316">
        <v>0</v>
      </c>
      <c r="I23" s="309">
        <v>457818</v>
      </c>
      <c r="K23" s="382"/>
    </row>
    <row r="24" spans="1:11" s="317" customFormat="1" ht="20.25" customHeight="1" x14ac:dyDescent="0.2">
      <c r="A24" s="311">
        <v>17</v>
      </c>
      <c r="B24" s="315" t="s">
        <v>2150</v>
      </c>
      <c r="C24" s="316">
        <v>593950</v>
      </c>
      <c r="D24" s="316">
        <v>0</v>
      </c>
      <c r="E24" s="316">
        <v>0</v>
      </c>
      <c r="F24" s="316">
        <v>0</v>
      </c>
      <c r="G24" s="316">
        <v>0</v>
      </c>
      <c r="H24" s="316">
        <v>0</v>
      </c>
      <c r="I24" s="309">
        <v>593950</v>
      </c>
      <c r="K24" s="382"/>
    </row>
    <row r="25" spans="1:11" s="322" customFormat="1" ht="22.5" customHeight="1" thickBot="1" x14ac:dyDescent="0.5">
      <c r="A25" s="494" t="s">
        <v>1919</v>
      </c>
      <c r="B25" s="495"/>
      <c r="C25" s="318">
        <f t="shared" ref="C25:I25" si="0">SUM(C8:C24)</f>
        <v>47024090.440000005</v>
      </c>
      <c r="D25" s="319">
        <f t="shared" si="0"/>
        <v>638887.42000000004</v>
      </c>
      <c r="E25" s="319">
        <f t="shared" si="0"/>
        <v>638887.42000000004</v>
      </c>
      <c r="F25" s="320">
        <f t="shared" si="0"/>
        <v>985072.31</v>
      </c>
      <c r="G25" s="320">
        <f t="shared" si="0"/>
        <v>985072.31</v>
      </c>
      <c r="H25" s="320">
        <f t="shared" si="0"/>
        <v>0</v>
      </c>
      <c r="I25" s="321">
        <f t="shared" si="0"/>
        <v>43776170.980000004</v>
      </c>
      <c r="K25" s="383"/>
    </row>
    <row r="26" spans="1:11" ht="24" thickTop="1" x14ac:dyDescent="0.5"/>
    <row r="28" spans="1:11" x14ac:dyDescent="0.5">
      <c r="C28" s="333"/>
      <c r="D28" s="333"/>
      <c r="E28" s="333"/>
      <c r="F28" s="333"/>
      <c r="G28" s="333"/>
      <c r="H28" s="333"/>
      <c r="I28" s="333"/>
    </row>
    <row r="29" spans="1:11" x14ac:dyDescent="0.5">
      <c r="C29" s="373"/>
      <c r="D29" s="373"/>
      <c r="E29" s="373"/>
      <c r="F29" s="373"/>
      <c r="G29" s="373"/>
      <c r="H29" s="373"/>
      <c r="I29" s="373"/>
    </row>
  </sheetData>
  <mergeCells count="11">
    <mergeCell ref="A25:B25"/>
    <mergeCell ref="A1:I1"/>
    <mergeCell ref="A2:I2"/>
    <mergeCell ref="A3:I3"/>
    <mergeCell ref="A5:A7"/>
    <mergeCell ref="B5:B7"/>
    <mergeCell ref="C5:C7"/>
    <mergeCell ref="D5:H5"/>
    <mergeCell ref="I5:I7"/>
    <mergeCell ref="D6:E6"/>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zoomScale="110" zoomScaleNormal="110" workbookViewId="0">
      <selection activeCell="A2" sqref="A2:O2"/>
    </sheetView>
  </sheetViews>
  <sheetFormatPr defaultRowHeight="18.75" x14ac:dyDescent="0.4"/>
  <cols>
    <col min="1" max="1" width="4.625" style="366" customWidth="1"/>
    <col min="2" max="2" width="9.125" style="367" customWidth="1"/>
    <col min="3" max="3" width="10.625" style="329" customWidth="1"/>
    <col min="4" max="4" width="16.625" style="329" customWidth="1"/>
    <col min="5" max="5" width="22.625" style="331" customWidth="1"/>
    <col min="6" max="7" width="17.125" style="332" customWidth="1"/>
    <col min="8" max="8" width="28.125" style="332" customWidth="1"/>
    <col min="9" max="9" width="12.625" style="333" customWidth="1"/>
    <col min="10" max="13" width="11.625" style="332" customWidth="1"/>
    <col min="14" max="14" width="9.625" style="332" customWidth="1"/>
    <col min="15" max="15" width="11.625" style="384" customWidth="1"/>
    <col min="16" max="256" width="9" style="384"/>
    <col min="257" max="257" width="4.625" style="384" customWidth="1"/>
    <col min="258" max="258" width="9.125" style="384" customWidth="1"/>
    <col min="259" max="259" width="10.625" style="384" customWidth="1"/>
    <col min="260" max="260" width="16.625" style="384" customWidth="1"/>
    <col min="261" max="261" width="22.625" style="384" customWidth="1"/>
    <col min="262" max="263" width="17.125" style="384" customWidth="1"/>
    <col min="264" max="264" width="28.125" style="384" customWidth="1"/>
    <col min="265" max="265" width="12.625" style="384" customWidth="1"/>
    <col min="266" max="269" width="11.625" style="384" customWidth="1"/>
    <col min="270" max="270" width="9.625" style="384" customWidth="1"/>
    <col min="271" max="271" width="11.625" style="384" customWidth="1"/>
    <col min="272" max="512" width="9" style="384"/>
    <col min="513" max="513" width="4.625" style="384" customWidth="1"/>
    <col min="514" max="514" width="9.125" style="384" customWidth="1"/>
    <col min="515" max="515" width="10.625" style="384" customWidth="1"/>
    <col min="516" max="516" width="16.625" style="384" customWidth="1"/>
    <col min="517" max="517" width="22.625" style="384" customWidth="1"/>
    <col min="518" max="519" width="17.125" style="384" customWidth="1"/>
    <col min="520" max="520" width="28.125" style="384" customWidth="1"/>
    <col min="521" max="521" width="12.625" style="384" customWidth="1"/>
    <col min="522" max="525" width="11.625" style="384" customWidth="1"/>
    <col min="526" max="526" width="9.625" style="384" customWidth="1"/>
    <col min="527" max="527" width="11.625" style="384" customWidth="1"/>
    <col min="528" max="768" width="9" style="384"/>
    <col min="769" max="769" width="4.625" style="384" customWidth="1"/>
    <col min="770" max="770" width="9.125" style="384" customWidth="1"/>
    <col min="771" max="771" width="10.625" style="384" customWidth="1"/>
    <col min="772" max="772" width="16.625" style="384" customWidth="1"/>
    <col min="773" max="773" width="22.625" style="384" customWidth="1"/>
    <col min="774" max="775" width="17.125" style="384" customWidth="1"/>
    <col min="776" max="776" width="28.125" style="384" customWidth="1"/>
    <col min="777" max="777" width="12.625" style="384" customWidth="1"/>
    <col min="778" max="781" width="11.625" style="384" customWidth="1"/>
    <col min="782" max="782" width="9.625" style="384" customWidth="1"/>
    <col min="783" max="783" width="11.625" style="384" customWidth="1"/>
    <col min="784" max="1024" width="9" style="384"/>
    <col min="1025" max="1025" width="4.625" style="384" customWidth="1"/>
    <col min="1026" max="1026" width="9.125" style="384" customWidth="1"/>
    <col min="1027" max="1027" width="10.625" style="384" customWidth="1"/>
    <col min="1028" max="1028" width="16.625" style="384" customWidth="1"/>
    <col min="1029" max="1029" width="22.625" style="384" customWidth="1"/>
    <col min="1030" max="1031" width="17.125" style="384" customWidth="1"/>
    <col min="1032" max="1032" width="28.125" style="384" customWidth="1"/>
    <col min="1033" max="1033" width="12.625" style="384" customWidth="1"/>
    <col min="1034" max="1037" width="11.625" style="384" customWidth="1"/>
    <col min="1038" max="1038" width="9.625" style="384" customWidth="1"/>
    <col min="1039" max="1039" width="11.625" style="384" customWidth="1"/>
    <col min="1040" max="1280" width="9" style="384"/>
    <col min="1281" max="1281" width="4.625" style="384" customWidth="1"/>
    <col min="1282" max="1282" width="9.125" style="384" customWidth="1"/>
    <col min="1283" max="1283" width="10.625" style="384" customWidth="1"/>
    <col min="1284" max="1284" width="16.625" style="384" customWidth="1"/>
    <col min="1285" max="1285" width="22.625" style="384" customWidth="1"/>
    <col min="1286" max="1287" width="17.125" style="384" customWidth="1"/>
    <col min="1288" max="1288" width="28.125" style="384" customWidth="1"/>
    <col min="1289" max="1289" width="12.625" style="384" customWidth="1"/>
    <col min="1290" max="1293" width="11.625" style="384" customWidth="1"/>
    <col min="1294" max="1294" width="9.625" style="384" customWidth="1"/>
    <col min="1295" max="1295" width="11.625" style="384" customWidth="1"/>
    <col min="1296" max="1536" width="9" style="384"/>
    <col min="1537" max="1537" width="4.625" style="384" customWidth="1"/>
    <col min="1538" max="1538" width="9.125" style="384" customWidth="1"/>
    <col min="1539" max="1539" width="10.625" style="384" customWidth="1"/>
    <col min="1540" max="1540" width="16.625" style="384" customWidth="1"/>
    <col min="1541" max="1541" width="22.625" style="384" customWidth="1"/>
    <col min="1542" max="1543" width="17.125" style="384" customWidth="1"/>
    <col min="1544" max="1544" width="28.125" style="384" customWidth="1"/>
    <col min="1545" max="1545" width="12.625" style="384" customWidth="1"/>
    <col min="1546" max="1549" width="11.625" style="384" customWidth="1"/>
    <col min="1550" max="1550" width="9.625" style="384" customWidth="1"/>
    <col min="1551" max="1551" width="11.625" style="384" customWidth="1"/>
    <col min="1552" max="1792" width="9" style="384"/>
    <col min="1793" max="1793" width="4.625" style="384" customWidth="1"/>
    <col min="1794" max="1794" width="9.125" style="384" customWidth="1"/>
    <col min="1795" max="1795" width="10.625" style="384" customWidth="1"/>
    <col min="1796" max="1796" width="16.625" style="384" customWidth="1"/>
    <col min="1797" max="1797" width="22.625" style="384" customWidth="1"/>
    <col min="1798" max="1799" width="17.125" style="384" customWidth="1"/>
    <col min="1800" max="1800" width="28.125" style="384" customWidth="1"/>
    <col min="1801" max="1801" width="12.625" style="384" customWidth="1"/>
    <col min="1802" max="1805" width="11.625" style="384" customWidth="1"/>
    <col min="1806" max="1806" width="9.625" style="384" customWidth="1"/>
    <col min="1807" max="1807" width="11.625" style="384" customWidth="1"/>
    <col min="1808" max="2048" width="9" style="384"/>
    <col min="2049" max="2049" width="4.625" style="384" customWidth="1"/>
    <col min="2050" max="2050" width="9.125" style="384" customWidth="1"/>
    <col min="2051" max="2051" width="10.625" style="384" customWidth="1"/>
    <col min="2052" max="2052" width="16.625" style="384" customWidth="1"/>
    <col min="2053" max="2053" width="22.625" style="384" customWidth="1"/>
    <col min="2054" max="2055" width="17.125" style="384" customWidth="1"/>
    <col min="2056" max="2056" width="28.125" style="384" customWidth="1"/>
    <col min="2057" max="2057" width="12.625" style="384" customWidth="1"/>
    <col min="2058" max="2061" width="11.625" style="384" customWidth="1"/>
    <col min="2062" max="2062" width="9.625" style="384" customWidth="1"/>
    <col min="2063" max="2063" width="11.625" style="384" customWidth="1"/>
    <col min="2064" max="2304" width="9" style="384"/>
    <col min="2305" max="2305" width="4.625" style="384" customWidth="1"/>
    <col min="2306" max="2306" width="9.125" style="384" customWidth="1"/>
    <col min="2307" max="2307" width="10.625" style="384" customWidth="1"/>
    <col min="2308" max="2308" width="16.625" style="384" customWidth="1"/>
    <col min="2309" max="2309" width="22.625" style="384" customWidth="1"/>
    <col min="2310" max="2311" width="17.125" style="384" customWidth="1"/>
    <col min="2312" max="2312" width="28.125" style="384" customWidth="1"/>
    <col min="2313" max="2313" width="12.625" style="384" customWidth="1"/>
    <col min="2314" max="2317" width="11.625" style="384" customWidth="1"/>
    <col min="2318" max="2318" width="9.625" style="384" customWidth="1"/>
    <col min="2319" max="2319" width="11.625" style="384" customWidth="1"/>
    <col min="2320" max="2560" width="9" style="384"/>
    <col min="2561" max="2561" width="4.625" style="384" customWidth="1"/>
    <col min="2562" max="2562" width="9.125" style="384" customWidth="1"/>
    <col min="2563" max="2563" width="10.625" style="384" customWidth="1"/>
    <col min="2564" max="2564" width="16.625" style="384" customWidth="1"/>
    <col min="2565" max="2565" width="22.625" style="384" customWidth="1"/>
    <col min="2566" max="2567" width="17.125" style="384" customWidth="1"/>
    <col min="2568" max="2568" width="28.125" style="384" customWidth="1"/>
    <col min="2569" max="2569" width="12.625" style="384" customWidth="1"/>
    <col min="2570" max="2573" width="11.625" style="384" customWidth="1"/>
    <col min="2574" max="2574" width="9.625" style="384" customWidth="1"/>
    <col min="2575" max="2575" width="11.625" style="384" customWidth="1"/>
    <col min="2576" max="2816" width="9" style="384"/>
    <col min="2817" max="2817" width="4.625" style="384" customWidth="1"/>
    <col min="2818" max="2818" width="9.125" style="384" customWidth="1"/>
    <col min="2819" max="2819" width="10.625" style="384" customWidth="1"/>
    <col min="2820" max="2820" width="16.625" style="384" customWidth="1"/>
    <col min="2821" max="2821" width="22.625" style="384" customWidth="1"/>
    <col min="2822" max="2823" width="17.125" style="384" customWidth="1"/>
    <col min="2824" max="2824" width="28.125" style="384" customWidth="1"/>
    <col min="2825" max="2825" width="12.625" style="384" customWidth="1"/>
    <col min="2826" max="2829" width="11.625" style="384" customWidth="1"/>
    <col min="2830" max="2830" width="9.625" style="384" customWidth="1"/>
    <col min="2831" max="2831" width="11.625" style="384" customWidth="1"/>
    <col min="2832" max="3072" width="9" style="384"/>
    <col min="3073" max="3073" width="4.625" style="384" customWidth="1"/>
    <col min="3074" max="3074" width="9.125" style="384" customWidth="1"/>
    <col min="3075" max="3075" width="10.625" style="384" customWidth="1"/>
    <col min="3076" max="3076" width="16.625" style="384" customWidth="1"/>
    <col min="3077" max="3077" width="22.625" style="384" customWidth="1"/>
    <col min="3078" max="3079" width="17.125" style="384" customWidth="1"/>
    <col min="3080" max="3080" width="28.125" style="384" customWidth="1"/>
    <col min="3081" max="3081" width="12.625" style="384" customWidth="1"/>
    <col min="3082" max="3085" width="11.625" style="384" customWidth="1"/>
    <col min="3086" max="3086" width="9.625" style="384" customWidth="1"/>
    <col min="3087" max="3087" width="11.625" style="384" customWidth="1"/>
    <col min="3088" max="3328" width="9" style="384"/>
    <col min="3329" max="3329" width="4.625" style="384" customWidth="1"/>
    <col min="3330" max="3330" width="9.125" style="384" customWidth="1"/>
    <col min="3331" max="3331" width="10.625" style="384" customWidth="1"/>
    <col min="3332" max="3332" width="16.625" style="384" customWidth="1"/>
    <col min="3333" max="3333" width="22.625" style="384" customWidth="1"/>
    <col min="3334" max="3335" width="17.125" style="384" customWidth="1"/>
    <col min="3336" max="3336" width="28.125" style="384" customWidth="1"/>
    <col min="3337" max="3337" width="12.625" style="384" customWidth="1"/>
    <col min="3338" max="3341" width="11.625" style="384" customWidth="1"/>
    <col min="3342" max="3342" width="9.625" style="384" customWidth="1"/>
    <col min="3343" max="3343" width="11.625" style="384" customWidth="1"/>
    <col min="3344" max="3584" width="9" style="384"/>
    <col min="3585" max="3585" width="4.625" style="384" customWidth="1"/>
    <col min="3586" max="3586" width="9.125" style="384" customWidth="1"/>
    <col min="3587" max="3587" width="10.625" style="384" customWidth="1"/>
    <col min="3588" max="3588" width="16.625" style="384" customWidth="1"/>
    <col min="3589" max="3589" width="22.625" style="384" customWidth="1"/>
    <col min="3590" max="3591" width="17.125" style="384" customWidth="1"/>
    <col min="3592" max="3592" width="28.125" style="384" customWidth="1"/>
    <col min="3593" max="3593" width="12.625" style="384" customWidth="1"/>
    <col min="3594" max="3597" width="11.625" style="384" customWidth="1"/>
    <col min="3598" max="3598" width="9.625" style="384" customWidth="1"/>
    <col min="3599" max="3599" width="11.625" style="384" customWidth="1"/>
    <col min="3600" max="3840" width="9" style="384"/>
    <col min="3841" max="3841" width="4.625" style="384" customWidth="1"/>
    <col min="3842" max="3842" width="9.125" style="384" customWidth="1"/>
    <col min="3843" max="3843" width="10.625" style="384" customWidth="1"/>
    <col min="3844" max="3844" width="16.625" style="384" customWidth="1"/>
    <col min="3845" max="3845" width="22.625" style="384" customWidth="1"/>
    <col min="3846" max="3847" width="17.125" style="384" customWidth="1"/>
    <col min="3848" max="3848" width="28.125" style="384" customWidth="1"/>
    <col min="3849" max="3849" width="12.625" style="384" customWidth="1"/>
    <col min="3850" max="3853" width="11.625" style="384" customWidth="1"/>
    <col min="3854" max="3854" width="9.625" style="384" customWidth="1"/>
    <col min="3855" max="3855" width="11.625" style="384" customWidth="1"/>
    <col min="3856" max="4096" width="9" style="384"/>
    <col min="4097" max="4097" width="4.625" style="384" customWidth="1"/>
    <col min="4098" max="4098" width="9.125" style="384" customWidth="1"/>
    <col min="4099" max="4099" width="10.625" style="384" customWidth="1"/>
    <col min="4100" max="4100" width="16.625" style="384" customWidth="1"/>
    <col min="4101" max="4101" width="22.625" style="384" customWidth="1"/>
    <col min="4102" max="4103" width="17.125" style="384" customWidth="1"/>
    <col min="4104" max="4104" width="28.125" style="384" customWidth="1"/>
    <col min="4105" max="4105" width="12.625" style="384" customWidth="1"/>
    <col min="4106" max="4109" width="11.625" style="384" customWidth="1"/>
    <col min="4110" max="4110" width="9.625" style="384" customWidth="1"/>
    <col min="4111" max="4111" width="11.625" style="384" customWidth="1"/>
    <col min="4112" max="4352" width="9" style="384"/>
    <col min="4353" max="4353" width="4.625" style="384" customWidth="1"/>
    <col min="4354" max="4354" width="9.125" style="384" customWidth="1"/>
    <col min="4355" max="4355" width="10.625" style="384" customWidth="1"/>
    <col min="4356" max="4356" width="16.625" style="384" customWidth="1"/>
    <col min="4357" max="4357" width="22.625" style="384" customWidth="1"/>
    <col min="4358" max="4359" width="17.125" style="384" customWidth="1"/>
    <col min="4360" max="4360" width="28.125" style="384" customWidth="1"/>
    <col min="4361" max="4361" width="12.625" style="384" customWidth="1"/>
    <col min="4362" max="4365" width="11.625" style="384" customWidth="1"/>
    <col min="4366" max="4366" width="9.625" style="384" customWidth="1"/>
    <col min="4367" max="4367" width="11.625" style="384" customWidth="1"/>
    <col min="4368" max="4608" width="9" style="384"/>
    <col min="4609" max="4609" width="4.625" style="384" customWidth="1"/>
    <col min="4610" max="4610" width="9.125" style="384" customWidth="1"/>
    <col min="4611" max="4611" width="10.625" style="384" customWidth="1"/>
    <col min="4612" max="4612" width="16.625" style="384" customWidth="1"/>
    <col min="4613" max="4613" width="22.625" style="384" customWidth="1"/>
    <col min="4614" max="4615" width="17.125" style="384" customWidth="1"/>
    <col min="4616" max="4616" width="28.125" style="384" customWidth="1"/>
    <col min="4617" max="4617" width="12.625" style="384" customWidth="1"/>
    <col min="4618" max="4621" width="11.625" style="384" customWidth="1"/>
    <col min="4622" max="4622" width="9.625" style="384" customWidth="1"/>
    <col min="4623" max="4623" width="11.625" style="384" customWidth="1"/>
    <col min="4624" max="4864" width="9" style="384"/>
    <col min="4865" max="4865" width="4.625" style="384" customWidth="1"/>
    <col min="4866" max="4866" width="9.125" style="384" customWidth="1"/>
    <col min="4867" max="4867" width="10.625" style="384" customWidth="1"/>
    <col min="4868" max="4868" width="16.625" style="384" customWidth="1"/>
    <col min="4869" max="4869" width="22.625" style="384" customWidth="1"/>
    <col min="4870" max="4871" width="17.125" style="384" customWidth="1"/>
    <col min="4872" max="4872" width="28.125" style="384" customWidth="1"/>
    <col min="4873" max="4873" width="12.625" style="384" customWidth="1"/>
    <col min="4874" max="4877" width="11.625" style="384" customWidth="1"/>
    <col min="4878" max="4878" width="9.625" style="384" customWidth="1"/>
    <col min="4879" max="4879" width="11.625" style="384" customWidth="1"/>
    <col min="4880" max="5120" width="9" style="384"/>
    <col min="5121" max="5121" width="4.625" style="384" customWidth="1"/>
    <col min="5122" max="5122" width="9.125" style="384" customWidth="1"/>
    <col min="5123" max="5123" width="10.625" style="384" customWidth="1"/>
    <col min="5124" max="5124" width="16.625" style="384" customWidth="1"/>
    <col min="5125" max="5125" width="22.625" style="384" customWidth="1"/>
    <col min="5126" max="5127" width="17.125" style="384" customWidth="1"/>
    <col min="5128" max="5128" width="28.125" style="384" customWidth="1"/>
    <col min="5129" max="5129" width="12.625" style="384" customWidth="1"/>
    <col min="5130" max="5133" width="11.625" style="384" customWidth="1"/>
    <col min="5134" max="5134" width="9.625" style="384" customWidth="1"/>
    <col min="5135" max="5135" width="11.625" style="384" customWidth="1"/>
    <col min="5136" max="5376" width="9" style="384"/>
    <col min="5377" max="5377" width="4.625" style="384" customWidth="1"/>
    <col min="5378" max="5378" width="9.125" style="384" customWidth="1"/>
    <col min="5379" max="5379" width="10.625" style="384" customWidth="1"/>
    <col min="5380" max="5380" width="16.625" style="384" customWidth="1"/>
    <col min="5381" max="5381" width="22.625" style="384" customWidth="1"/>
    <col min="5382" max="5383" width="17.125" style="384" customWidth="1"/>
    <col min="5384" max="5384" width="28.125" style="384" customWidth="1"/>
    <col min="5385" max="5385" width="12.625" style="384" customWidth="1"/>
    <col min="5386" max="5389" width="11.625" style="384" customWidth="1"/>
    <col min="5390" max="5390" width="9.625" style="384" customWidth="1"/>
    <col min="5391" max="5391" width="11.625" style="384" customWidth="1"/>
    <col min="5392" max="5632" width="9" style="384"/>
    <col min="5633" max="5633" width="4.625" style="384" customWidth="1"/>
    <col min="5634" max="5634" width="9.125" style="384" customWidth="1"/>
    <col min="5635" max="5635" width="10.625" style="384" customWidth="1"/>
    <col min="5636" max="5636" width="16.625" style="384" customWidth="1"/>
    <col min="5637" max="5637" width="22.625" style="384" customWidth="1"/>
    <col min="5638" max="5639" width="17.125" style="384" customWidth="1"/>
    <col min="5640" max="5640" width="28.125" style="384" customWidth="1"/>
    <col min="5641" max="5641" width="12.625" style="384" customWidth="1"/>
    <col min="5642" max="5645" width="11.625" style="384" customWidth="1"/>
    <col min="5646" max="5646" width="9.625" style="384" customWidth="1"/>
    <col min="5647" max="5647" width="11.625" style="384" customWidth="1"/>
    <col min="5648" max="5888" width="9" style="384"/>
    <col min="5889" max="5889" width="4.625" style="384" customWidth="1"/>
    <col min="5890" max="5890" width="9.125" style="384" customWidth="1"/>
    <col min="5891" max="5891" width="10.625" style="384" customWidth="1"/>
    <col min="5892" max="5892" width="16.625" style="384" customWidth="1"/>
    <col min="5893" max="5893" width="22.625" style="384" customWidth="1"/>
    <col min="5894" max="5895" width="17.125" style="384" customWidth="1"/>
    <col min="5896" max="5896" width="28.125" style="384" customWidth="1"/>
    <col min="5897" max="5897" width="12.625" style="384" customWidth="1"/>
    <col min="5898" max="5901" width="11.625" style="384" customWidth="1"/>
    <col min="5902" max="5902" width="9.625" style="384" customWidth="1"/>
    <col min="5903" max="5903" width="11.625" style="384" customWidth="1"/>
    <col min="5904" max="6144" width="9" style="384"/>
    <col min="6145" max="6145" width="4.625" style="384" customWidth="1"/>
    <col min="6146" max="6146" width="9.125" style="384" customWidth="1"/>
    <col min="6147" max="6147" width="10.625" style="384" customWidth="1"/>
    <col min="6148" max="6148" width="16.625" style="384" customWidth="1"/>
    <col min="6149" max="6149" width="22.625" style="384" customWidth="1"/>
    <col min="6150" max="6151" width="17.125" style="384" customWidth="1"/>
    <col min="6152" max="6152" width="28.125" style="384" customWidth="1"/>
    <col min="6153" max="6153" width="12.625" style="384" customWidth="1"/>
    <col min="6154" max="6157" width="11.625" style="384" customWidth="1"/>
    <col min="6158" max="6158" width="9.625" style="384" customWidth="1"/>
    <col min="6159" max="6159" width="11.625" style="384" customWidth="1"/>
    <col min="6160" max="6400" width="9" style="384"/>
    <col min="6401" max="6401" width="4.625" style="384" customWidth="1"/>
    <col min="6402" max="6402" width="9.125" style="384" customWidth="1"/>
    <col min="6403" max="6403" width="10.625" style="384" customWidth="1"/>
    <col min="6404" max="6404" width="16.625" style="384" customWidth="1"/>
    <col min="6405" max="6405" width="22.625" style="384" customWidth="1"/>
    <col min="6406" max="6407" width="17.125" style="384" customWidth="1"/>
    <col min="6408" max="6408" width="28.125" style="384" customWidth="1"/>
    <col min="6409" max="6409" width="12.625" style="384" customWidth="1"/>
    <col min="6410" max="6413" width="11.625" style="384" customWidth="1"/>
    <col min="6414" max="6414" width="9.625" style="384" customWidth="1"/>
    <col min="6415" max="6415" width="11.625" style="384" customWidth="1"/>
    <col min="6416" max="6656" width="9" style="384"/>
    <col min="6657" max="6657" width="4.625" style="384" customWidth="1"/>
    <col min="6658" max="6658" width="9.125" style="384" customWidth="1"/>
    <col min="6659" max="6659" width="10.625" style="384" customWidth="1"/>
    <col min="6660" max="6660" width="16.625" style="384" customWidth="1"/>
    <col min="6661" max="6661" width="22.625" style="384" customWidth="1"/>
    <col min="6662" max="6663" width="17.125" style="384" customWidth="1"/>
    <col min="6664" max="6664" width="28.125" style="384" customWidth="1"/>
    <col min="6665" max="6665" width="12.625" style="384" customWidth="1"/>
    <col min="6666" max="6669" width="11.625" style="384" customWidth="1"/>
    <col min="6670" max="6670" width="9.625" style="384" customWidth="1"/>
    <col min="6671" max="6671" width="11.625" style="384" customWidth="1"/>
    <col min="6672" max="6912" width="9" style="384"/>
    <col min="6913" max="6913" width="4.625" style="384" customWidth="1"/>
    <col min="6914" max="6914" width="9.125" style="384" customWidth="1"/>
    <col min="6915" max="6915" width="10.625" style="384" customWidth="1"/>
    <col min="6916" max="6916" width="16.625" style="384" customWidth="1"/>
    <col min="6917" max="6917" width="22.625" style="384" customWidth="1"/>
    <col min="6918" max="6919" width="17.125" style="384" customWidth="1"/>
    <col min="6920" max="6920" width="28.125" style="384" customWidth="1"/>
    <col min="6921" max="6921" width="12.625" style="384" customWidth="1"/>
    <col min="6922" max="6925" width="11.625" style="384" customWidth="1"/>
    <col min="6926" max="6926" width="9.625" style="384" customWidth="1"/>
    <col min="6927" max="6927" width="11.625" style="384" customWidth="1"/>
    <col min="6928" max="7168" width="9" style="384"/>
    <col min="7169" max="7169" width="4.625" style="384" customWidth="1"/>
    <col min="7170" max="7170" width="9.125" style="384" customWidth="1"/>
    <col min="7171" max="7171" width="10.625" style="384" customWidth="1"/>
    <col min="7172" max="7172" width="16.625" style="384" customWidth="1"/>
    <col min="7173" max="7173" width="22.625" style="384" customWidth="1"/>
    <col min="7174" max="7175" width="17.125" style="384" customWidth="1"/>
    <col min="7176" max="7176" width="28.125" style="384" customWidth="1"/>
    <col min="7177" max="7177" width="12.625" style="384" customWidth="1"/>
    <col min="7178" max="7181" width="11.625" style="384" customWidth="1"/>
    <col min="7182" max="7182" width="9.625" style="384" customWidth="1"/>
    <col min="7183" max="7183" width="11.625" style="384" customWidth="1"/>
    <col min="7184" max="7424" width="9" style="384"/>
    <col min="7425" max="7425" width="4.625" style="384" customWidth="1"/>
    <col min="7426" max="7426" width="9.125" style="384" customWidth="1"/>
    <col min="7427" max="7427" width="10.625" style="384" customWidth="1"/>
    <col min="7428" max="7428" width="16.625" style="384" customWidth="1"/>
    <col min="7429" max="7429" width="22.625" style="384" customWidth="1"/>
    <col min="7430" max="7431" width="17.125" style="384" customWidth="1"/>
    <col min="7432" max="7432" width="28.125" style="384" customWidth="1"/>
    <col min="7433" max="7433" width="12.625" style="384" customWidth="1"/>
    <col min="7434" max="7437" width="11.625" style="384" customWidth="1"/>
    <col min="7438" max="7438" width="9.625" style="384" customWidth="1"/>
    <col min="7439" max="7439" width="11.625" style="384" customWidth="1"/>
    <col min="7440" max="7680" width="9" style="384"/>
    <col min="7681" max="7681" width="4.625" style="384" customWidth="1"/>
    <col min="7682" max="7682" width="9.125" style="384" customWidth="1"/>
    <col min="7683" max="7683" width="10.625" style="384" customWidth="1"/>
    <col min="7684" max="7684" width="16.625" style="384" customWidth="1"/>
    <col min="7685" max="7685" width="22.625" style="384" customWidth="1"/>
    <col min="7686" max="7687" width="17.125" style="384" customWidth="1"/>
    <col min="7688" max="7688" width="28.125" style="384" customWidth="1"/>
    <col min="7689" max="7689" width="12.625" style="384" customWidth="1"/>
    <col min="7690" max="7693" width="11.625" style="384" customWidth="1"/>
    <col min="7694" max="7694" width="9.625" style="384" customWidth="1"/>
    <col min="7695" max="7695" width="11.625" style="384" customWidth="1"/>
    <col min="7696" max="7936" width="9" style="384"/>
    <col min="7937" max="7937" width="4.625" style="384" customWidth="1"/>
    <col min="7938" max="7938" width="9.125" style="384" customWidth="1"/>
    <col min="7939" max="7939" width="10.625" style="384" customWidth="1"/>
    <col min="7940" max="7940" width="16.625" style="384" customWidth="1"/>
    <col min="7941" max="7941" width="22.625" style="384" customWidth="1"/>
    <col min="7942" max="7943" width="17.125" style="384" customWidth="1"/>
    <col min="7944" max="7944" width="28.125" style="384" customWidth="1"/>
    <col min="7945" max="7945" width="12.625" style="384" customWidth="1"/>
    <col min="7946" max="7949" width="11.625" style="384" customWidth="1"/>
    <col min="7950" max="7950" width="9.625" style="384" customWidth="1"/>
    <col min="7951" max="7951" width="11.625" style="384" customWidth="1"/>
    <col min="7952" max="8192" width="9" style="384"/>
    <col min="8193" max="8193" width="4.625" style="384" customWidth="1"/>
    <col min="8194" max="8194" width="9.125" style="384" customWidth="1"/>
    <col min="8195" max="8195" width="10.625" style="384" customWidth="1"/>
    <col min="8196" max="8196" width="16.625" style="384" customWidth="1"/>
    <col min="8197" max="8197" width="22.625" style="384" customWidth="1"/>
    <col min="8198" max="8199" width="17.125" style="384" customWidth="1"/>
    <col min="8200" max="8200" width="28.125" style="384" customWidth="1"/>
    <col min="8201" max="8201" width="12.625" style="384" customWidth="1"/>
    <col min="8202" max="8205" width="11.625" style="384" customWidth="1"/>
    <col min="8206" max="8206" width="9.625" style="384" customWidth="1"/>
    <col min="8207" max="8207" width="11.625" style="384" customWidth="1"/>
    <col min="8208" max="8448" width="9" style="384"/>
    <col min="8449" max="8449" width="4.625" style="384" customWidth="1"/>
    <col min="8450" max="8450" width="9.125" style="384" customWidth="1"/>
    <col min="8451" max="8451" width="10.625" style="384" customWidth="1"/>
    <col min="8452" max="8452" width="16.625" style="384" customWidth="1"/>
    <col min="8453" max="8453" width="22.625" style="384" customWidth="1"/>
    <col min="8454" max="8455" width="17.125" style="384" customWidth="1"/>
    <col min="8456" max="8456" width="28.125" style="384" customWidth="1"/>
    <col min="8457" max="8457" width="12.625" style="384" customWidth="1"/>
    <col min="8458" max="8461" width="11.625" style="384" customWidth="1"/>
    <col min="8462" max="8462" width="9.625" style="384" customWidth="1"/>
    <col min="8463" max="8463" width="11.625" style="384" customWidth="1"/>
    <col min="8464" max="8704" width="9" style="384"/>
    <col min="8705" max="8705" width="4.625" style="384" customWidth="1"/>
    <col min="8706" max="8706" width="9.125" style="384" customWidth="1"/>
    <col min="8707" max="8707" width="10.625" style="384" customWidth="1"/>
    <col min="8708" max="8708" width="16.625" style="384" customWidth="1"/>
    <col min="8709" max="8709" width="22.625" style="384" customWidth="1"/>
    <col min="8710" max="8711" width="17.125" style="384" customWidth="1"/>
    <col min="8712" max="8712" width="28.125" style="384" customWidth="1"/>
    <col min="8713" max="8713" width="12.625" style="384" customWidth="1"/>
    <col min="8714" max="8717" width="11.625" style="384" customWidth="1"/>
    <col min="8718" max="8718" width="9.625" style="384" customWidth="1"/>
    <col min="8719" max="8719" width="11.625" style="384" customWidth="1"/>
    <col min="8720" max="8960" width="9" style="384"/>
    <col min="8961" max="8961" width="4.625" style="384" customWidth="1"/>
    <col min="8962" max="8962" width="9.125" style="384" customWidth="1"/>
    <col min="8963" max="8963" width="10.625" style="384" customWidth="1"/>
    <col min="8964" max="8964" width="16.625" style="384" customWidth="1"/>
    <col min="8965" max="8965" width="22.625" style="384" customWidth="1"/>
    <col min="8966" max="8967" width="17.125" style="384" customWidth="1"/>
    <col min="8968" max="8968" width="28.125" style="384" customWidth="1"/>
    <col min="8969" max="8969" width="12.625" style="384" customWidth="1"/>
    <col min="8970" max="8973" width="11.625" style="384" customWidth="1"/>
    <col min="8974" max="8974" width="9.625" style="384" customWidth="1"/>
    <col min="8975" max="8975" width="11.625" style="384" customWidth="1"/>
    <col min="8976" max="9216" width="9" style="384"/>
    <col min="9217" max="9217" width="4.625" style="384" customWidth="1"/>
    <col min="9218" max="9218" width="9.125" style="384" customWidth="1"/>
    <col min="9219" max="9219" width="10.625" style="384" customWidth="1"/>
    <col min="9220" max="9220" width="16.625" style="384" customWidth="1"/>
    <col min="9221" max="9221" width="22.625" style="384" customWidth="1"/>
    <col min="9222" max="9223" width="17.125" style="384" customWidth="1"/>
    <col min="9224" max="9224" width="28.125" style="384" customWidth="1"/>
    <col min="9225" max="9225" width="12.625" style="384" customWidth="1"/>
    <col min="9226" max="9229" width="11.625" style="384" customWidth="1"/>
    <col min="9230" max="9230" width="9.625" style="384" customWidth="1"/>
    <col min="9231" max="9231" width="11.625" style="384" customWidth="1"/>
    <col min="9232" max="9472" width="9" style="384"/>
    <col min="9473" max="9473" width="4.625" style="384" customWidth="1"/>
    <col min="9474" max="9474" width="9.125" style="384" customWidth="1"/>
    <col min="9475" max="9475" width="10.625" style="384" customWidth="1"/>
    <col min="9476" max="9476" width="16.625" style="384" customWidth="1"/>
    <col min="9477" max="9477" width="22.625" style="384" customWidth="1"/>
    <col min="9478" max="9479" width="17.125" style="384" customWidth="1"/>
    <col min="9480" max="9480" width="28.125" style="384" customWidth="1"/>
    <col min="9481" max="9481" width="12.625" style="384" customWidth="1"/>
    <col min="9482" max="9485" width="11.625" style="384" customWidth="1"/>
    <col min="9486" max="9486" width="9.625" style="384" customWidth="1"/>
    <col min="9487" max="9487" width="11.625" style="384" customWidth="1"/>
    <col min="9488" max="9728" width="9" style="384"/>
    <col min="9729" max="9729" width="4.625" style="384" customWidth="1"/>
    <col min="9730" max="9730" width="9.125" style="384" customWidth="1"/>
    <col min="9731" max="9731" width="10.625" style="384" customWidth="1"/>
    <col min="9732" max="9732" width="16.625" style="384" customWidth="1"/>
    <col min="9733" max="9733" width="22.625" style="384" customWidth="1"/>
    <col min="9734" max="9735" width="17.125" style="384" customWidth="1"/>
    <col min="9736" max="9736" width="28.125" style="384" customWidth="1"/>
    <col min="9737" max="9737" width="12.625" style="384" customWidth="1"/>
    <col min="9738" max="9741" width="11.625" style="384" customWidth="1"/>
    <col min="9742" max="9742" width="9.625" style="384" customWidth="1"/>
    <col min="9743" max="9743" width="11.625" style="384" customWidth="1"/>
    <col min="9744" max="9984" width="9" style="384"/>
    <col min="9985" max="9985" width="4.625" style="384" customWidth="1"/>
    <col min="9986" max="9986" width="9.125" style="384" customWidth="1"/>
    <col min="9987" max="9987" width="10.625" style="384" customWidth="1"/>
    <col min="9988" max="9988" width="16.625" style="384" customWidth="1"/>
    <col min="9989" max="9989" width="22.625" style="384" customWidth="1"/>
    <col min="9990" max="9991" width="17.125" style="384" customWidth="1"/>
    <col min="9992" max="9992" width="28.125" style="384" customWidth="1"/>
    <col min="9993" max="9993" width="12.625" style="384" customWidth="1"/>
    <col min="9994" max="9997" width="11.625" style="384" customWidth="1"/>
    <col min="9998" max="9998" width="9.625" style="384" customWidth="1"/>
    <col min="9999" max="9999" width="11.625" style="384" customWidth="1"/>
    <col min="10000" max="10240" width="9" style="384"/>
    <col min="10241" max="10241" width="4.625" style="384" customWidth="1"/>
    <col min="10242" max="10242" width="9.125" style="384" customWidth="1"/>
    <col min="10243" max="10243" width="10.625" style="384" customWidth="1"/>
    <col min="10244" max="10244" width="16.625" style="384" customWidth="1"/>
    <col min="10245" max="10245" width="22.625" style="384" customWidth="1"/>
    <col min="10246" max="10247" width="17.125" style="384" customWidth="1"/>
    <col min="10248" max="10248" width="28.125" style="384" customWidth="1"/>
    <col min="10249" max="10249" width="12.625" style="384" customWidth="1"/>
    <col min="10250" max="10253" width="11.625" style="384" customWidth="1"/>
    <col min="10254" max="10254" width="9.625" style="384" customWidth="1"/>
    <col min="10255" max="10255" width="11.625" style="384" customWidth="1"/>
    <col min="10256" max="10496" width="9" style="384"/>
    <col min="10497" max="10497" width="4.625" style="384" customWidth="1"/>
    <col min="10498" max="10498" width="9.125" style="384" customWidth="1"/>
    <col min="10499" max="10499" width="10.625" style="384" customWidth="1"/>
    <col min="10500" max="10500" width="16.625" style="384" customWidth="1"/>
    <col min="10501" max="10501" width="22.625" style="384" customWidth="1"/>
    <col min="10502" max="10503" width="17.125" style="384" customWidth="1"/>
    <col min="10504" max="10504" width="28.125" style="384" customWidth="1"/>
    <col min="10505" max="10505" width="12.625" style="384" customWidth="1"/>
    <col min="10506" max="10509" width="11.625" style="384" customWidth="1"/>
    <col min="10510" max="10510" width="9.625" style="384" customWidth="1"/>
    <col min="10511" max="10511" width="11.625" style="384" customWidth="1"/>
    <col min="10512" max="10752" width="9" style="384"/>
    <col min="10753" max="10753" width="4.625" style="384" customWidth="1"/>
    <col min="10754" max="10754" width="9.125" style="384" customWidth="1"/>
    <col min="10755" max="10755" width="10.625" style="384" customWidth="1"/>
    <col min="10756" max="10756" width="16.625" style="384" customWidth="1"/>
    <col min="10757" max="10757" width="22.625" style="384" customWidth="1"/>
    <col min="10758" max="10759" width="17.125" style="384" customWidth="1"/>
    <col min="10760" max="10760" width="28.125" style="384" customWidth="1"/>
    <col min="10761" max="10761" width="12.625" style="384" customWidth="1"/>
    <col min="10762" max="10765" width="11.625" style="384" customWidth="1"/>
    <col min="10766" max="10766" width="9.625" style="384" customWidth="1"/>
    <col min="10767" max="10767" width="11.625" style="384" customWidth="1"/>
    <col min="10768" max="11008" width="9" style="384"/>
    <col min="11009" max="11009" width="4.625" style="384" customWidth="1"/>
    <col min="11010" max="11010" width="9.125" style="384" customWidth="1"/>
    <col min="11011" max="11011" width="10.625" style="384" customWidth="1"/>
    <col min="11012" max="11012" width="16.625" style="384" customWidth="1"/>
    <col min="11013" max="11013" width="22.625" style="384" customWidth="1"/>
    <col min="11014" max="11015" width="17.125" style="384" customWidth="1"/>
    <col min="11016" max="11016" width="28.125" style="384" customWidth="1"/>
    <col min="11017" max="11017" width="12.625" style="384" customWidth="1"/>
    <col min="11018" max="11021" width="11.625" style="384" customWidth="1"/>
    <col min="11022" max="11022" width="9.625" style="384" customWidth="1"/>
    <col min="11023" max="11023" width="11.625" style="384" customWidth="1"/>
    <col min="11024" max="11264" width="9" style="384"/>
    <col min="11265" max="11265" width="4.625" style="384" customWidth="1"/>
    <col min="11266" max="11266" width="9.125" style="384" customWidth="1"/>
    <col min="11267" max="11267" width="10.625" style="384" customWidth="1"/>
    <col min="11268" max="11268" width="16.625" style="384" customWidth="1"/>
    <col min="11269" max="11269" width="22.625" style="384" customWidth="1"/>
    <col min="11270" max="11271" width="17.125" style="384" customWidth="1"/>
    <col min="11272" max="11272" width="28.125" style="384" customWidth="1"/>
    <col min="11273" max="11273" width="12.625" style="384" customWidth="1"/>
    <col min="11274" max="11277" width="11.625" style="384" customWidth="1"/>
    <col min="11278" max="11278" width="9.625" style="384" customWidth="1"/>
    <col min="11279" max="11279" width="11.625" style="384" customWidth="1"/>
    <col min="11280" max="11520" width="9" style="384"/>
    <col min="11521" max="11521" width="4.625" style="384" customWidth="1"/>
    <col min="11522" max="11522" width="9.125" style="384" customWidth="1"/>
    <col min="11523" max="11523" width="10.625" style="384" customWidth="1"/>
    <col min="11524" max="11524" width="16.625" style="384" customWidth="1"/>
    <col min="11525" max="11525" width="22.625" style="384" customWidth="1"/>
    <col min="11526" max="11527" width="17.125" style="384" customWidth="1"/>
    <col min="11528" max="11528" width="28.125" style="384" customWidth="1"/>
    <col min="11529" max="11529" width="12.625" style="384" customWidth="1"/>
    <col min="11530" max="11533" width="11.625" style="384" customWidth="1"/>
    <col min="11534" max="11534" width="9.625" style="384" customWidth="1"/>
    <col min="11535" max="11535" width="11.625" style="384" customWidth="1"/>
    <col min="11536" max="11776" width="9" style="384"/>
    <col min="11777" max="11777" width="4.625" style="384" customWidth="1"/>
    <col min="11778" max="11778" width="9.125" style="384" customWidth="1"/>
    <col min="11779" max="11779" width="10.625" style="384" customWidth="1"/>
    <col min="11780" max="11780" width="16.625" style="384" customWidth="1"/>
    <col min="11781" max="11781" width="22.625" style="384" customWidth="1"/>
    <col min="11782" max="11783" width="17.125" style="384" customWidth="1"/>
    <col min="11784" max="11784" width="28.125" style="384" customWidth="1"/>
    <col min="11785" max="11785" width="12.625" style="384" customWidth="1"/>
    <col min="11786" max="11789" width="11.625" style="384" customWidth="1"/>
    <col min="11790" max="11790" width="9.625" style="384" customWidth="1"/>
    <col min="11791" max="11791" width="11.625" style="384" customWidth="1"/>
    <col min="11792" max="12032" width="9" style="384"/>
    <col min="12033" max="12033" width="4.625" style="384" customWidth="1"/>
    <col min="12034" max="12034" width="9.125" style="384" customWidth="1"/>
    <col min="12035" max="12035" width="10.625" style="384" customWidth="1"/>
    <col min="12036" max="12036" width="16.625" style="384" customWidth="1"/>
    <col min="12037" max="12037" width="22.625" style="384" customWidth="1"/>
    <col min="12038" max="12039" width="17.125" style="384" customWidth="1"/>
    <col min="12040" max="12040" width="28.125" style="384" customWidth="1"/>
    <col min="12041" max="12041" width="12.625" style="384" customWidth="1"/>
    <col min="12042" max="12045" width="11.625" style="384" customWidth="1"/>
    <col min="12046" max="12046" width="9.625" style="384" customWidth="1"/>
    <col min="12047" max="12047" width="11.625" style="384" customWidth="1"/>
    <col min="12048" max="12288" width="9" style="384"/>
    <col min="12289" max="12289" width="4.625" style="384" customWidth="1"/>
    <col min="12290" max="12290" width="9.125" style="384" customWidth="1"/>
    <col min="12291" max="12291" width="10.625" style="384" customWidth="1"/>
    <col min="12292" max="12292" width="16.625" style="384" customWidth="1"/>
    <col min="12293" max="12293" width="22.625" style="384" customWidth="1"/>
    <col min="12294" max="12295" width="17.125" style="384" customWidth="1"/>
    <col min="12296" max="12296" width="28.125" style="384" customWidth="1"/>
    <col min="12297" max="12297" width="12.625" style="384" customWidth="1"/>
    <col min="12298" max="12301" width="11.625" style="384" customWidth="1"/>
    <col min="12302" max="12302" width="9.625" style="384" customWidth="1"/>
    <col min="12303" max="12303" width="11.625" style="384" customWidth="1"/>
    <col min="12304" max="12544" width="9" style="384"/>
    <col min="12545" max="12545" width="4.625" style="384" customWidth="1"/>
    <col min="12546" max="12546" width="9.125" style="384" customWidth="1"/>
    <col min="12547" max="12547" width="10.625" style="384" customWidth="1"/>
    <col min="12548" max="12548" width="16.625" style="384" customWidth="1"/>
    <col min="12549" max="12549" width="22.625" style="384" customWidth="1"/>
    <col min="12550" max="12551" width="17.125" style="384" customWidth="1"/>
    <col min="12552" max="12552" width="28.125" style="384" customWidth="1"/>
    <col min="12553" max="12553" width="12.625" style="384" customWidth="1"/>
    <col min="12554" max="12557" width="11.625" style="384" customWidth="1"/>
    <col min="12558" max="12558" width="9.625" style="384" customWidth="1"/>
    <col min="12559" max="12559" width="11.625" style="384" customWidth="1"/>
    <col min="12560" max="12800" width="9" style="384"/>
    <col min="12801" max="12801" width="4.625" style="384" customWidth="1"/>
    <col min="12802" max="12802" width="9.125" style="384" customWidth="1"/>
    <col min="12803" max="12803" width="10.625" style="384" customWidth="1"/>
    <col min="12804" max="12804" width="16.625" style="384" customWidth="1"/>
    <col min="12805" max="12805" width="22.625" style="384" customWidth="1"/>
    <col min="12806" max="12807" width="17.125" style="384" customWidth="1"/>
    <col min="12808" max="12808" width="28.125" style="384" customWidth="1"/>
    <col min="12809" max="12809" width="12.625" style="384" customWidth="1"/>
    <col min="12810" max="12813" width="11.625" style="384" customWidth="1"/>
    <col min="12814" max="12814" width="9.625" style="384" customWidth="1"/>
    <col min="12815" max="12815" width="11.625" style="384" customWidth="1"/>
    <col min="12816" max="13056" width="9" style="384"/>
    <col min="13057" max="13057" width="4.625" style="384" customWidth="1"/>
    <col min="13058" max="13058" width="9.125" style="384" customWidth="1"/>
    <col min="13059" max="13059" width="10.625" style="384" customWidth="1"/>
    <col min="13060" max="13060" width="16.625" style="384" customWidth="1"/>
    <col min="13061" max="13061" width="22.625" style="384" customWidth="1"/>
    <col min="13062" max="13063" width="17.125" style="384" customWidth="1"/>
    <col min="13064" max="13064" width="28.125" style="384" customWidth="1"/>
    <col min="13065" max="13065" width="12.625" style="384" customWidth="1"/>
    <col min="13066" max="13069" width="11.625" style="384" customWidth="1"/>
    <col min="13070" max="13070" width="9.625" style="384" customWidth="1"/>
    <col min="13071" max="13071" width="11.625" style="384" customWidth="1"/>
    <col min="13072" max="13312" width="9" style="384"/>
    <col min="13313" max="13313" width="4.625" style="384" customWidth="1"/>
    <col min="13314" max="13314" width="9.125" style="384" customWidth="1"/>
    <col min="13315" max="13315" width="10.625" style="384" customWidth="1"/>
    <col min="13316" max="13316" width="16.625" style="384" customWidth="1"/>
    <col min="13317" max="13317" width="22.625" style="384" customWidth="1"/>
    <col min="13318" max="13319" width="17.125" style="384" customWidth="1"/>
    <col min="13320" max="13320" width="28.125" style="384" customWidth="1"/>
    <col min="13321" max="13321" width="12.625" style="384" customWidth="1"/>
    <col min="13322" max="13325" width="11.625" style="384" customWidth="1"/>
    <col min="13326" max="13326" width="9.625" style="384" customWidth="1"/>
    <col min="13327" max="13327" width="11.625" style="384" customWidth="1"/>
    <col min="13328" max="13568" width="9" style="384"/>
    <col min="13569" max="13569" width="4.625" style="384" customWidth="1"/>
    <col min="13570" max="13570" width="9.125" style="384" customWidth="1"/>
    <col min="13571" max="13571" width="10.625" style="384" customWidth="1"/>
    <col min="13572" max="13572" width="16.625" style="384" customWidth="1"/>
    <col min="13573" max="13573" width="22.625" style="384" customWidth="1"/>
    <col min="13574" max="13575" width="17.125" style="384" customWidth="1"/>
    <col min="13576" max="13576" width="28.125" style="384" customWidth="1"/>
    <col min="13577" max="13577" width="12.625" style="384" customWidth="1"/>
    <col min="13578" max="13581" width="11.625" style="384" customWidth="1"/>
    <col min="13582" max="13582" width="9.625" style="384" customWidth="1"/>
    <col min="13583" max="13583" width="11.625" style="384" customWidth="1"/>
    <col min="13584" max="13824" width="9" style="384"/>
    <col min="13825" max="13825" width="4.625" style="384" customWidth="1"/>
    <col min="13826" max="13826" width="9.125" style="384" customWidth="1"/>
    <col min="13827" max="13827" width="10.625" style="384" customWidth="1"/>
    <col min="13828" max="13828" width="16.625" style="384" customWidth="1"/>
    <col min="13829" max="13829" width="22.625" style="384" customWidth="1"/>
    <col min="13830" max="13831" width="17.125" style="384" customWidth="1"/>
    <col min="13832" max="13832" width="28.125" style="384" customWidth="1"/>
    <col min="13833" max="13833" width="12.625" style="384" customWidth="1"/>
    <col min="13834" max="13837" width="11.625" style="384" customWidth="1"/>
    <col min="13838" max="13838" width="9.625" style="384" customWidth="1"/>
    <col min="13839" max="13839" width="11.625" style="384" customWidth="1"/>
    <col min="13840" max="14080" width="9" style="384"/>
    <col min="14081" max="14081" width="4.625" style="384" customWidth="1"/>
    <col min="14082" max="14082" width="9.125" style="384" customWidth="1"/>
    <col min="14083" max="14083" width="10.625" style="384" customWidth="1"/>
    <col min="14084" max="14084" width="16.625" style="384" customWidth="1"/>
    <col min="14085" max="14085" width="22.625" style="384" customWidth="1"/>
    <col min="14086" max="14087" width="17.125" style="384" customWidth="1"/>
    <col min="14088" max="14088" width="28.125" style="384" customWidth="1"/>
    <col min="14089" max="14089" width="12.625" style="384" customWidth="1"/>
    <col min="14090" max="14093" width="11.625" style="384" customWidth="1"/>
    <col min="14094" max="14094" width="9.625" style="384" customWidth="1"/>
    <col min="14095" max="14095" width="11.625" style="384" customWidth="1"/>
    <col min="14096" max="14336" width="9" style="384"/>
    <col min="14337" max="14337" width="4.625" style="384" customWidth="1"/>
    <col min="14338" max="14338" width="9.125" style="384" customWidth="1"/>
    <col min="14339" max="14339" width="10.625" style="384" customWidth="1"/>
    <col min="14340" max="14340" width="16.625" style="384" customWidth="1"/>
    <col min="14341" max="14341" width="22.625" style="384" customWidth="1"/>
    <col min="14342" max="14343" width="17.125" style="384" customWidth="1"/>
    <col min="14344" max="14344" width="28.125" style="384" customWidth="1"/>
    <col min="14345" max="14345" width="12.625" style="384" customWidth="1"/>
    <col min="14346" max="14349" width="11.625" style="384" customWidth="1"/>
    <col min="14350" max="14350" width="9.625" style="384" customWidth="1"/>
    <col min="14351" max="14351" width="11.625" style="384" customWidth="1"/>
    <col min="14352" max="14592" width="9" style="384"/>
    <col min="14593" max="14593" width="4.625" style="384" customWidth="1"/>
    <col min="14594" max="14594" width="9.125" style="384" customWidth="1"/>
    <col min="14595" max="14595" width="10.625" style="384" customWidth="1"/>
    <col min="14596" max="14596" width="16.625" style="384" customWidth="1"/>
    <col min="14597" max="14597" width="22.625" style="384" customWidth="1"/>
    <col min="14598" max="14599" width="17.125" style="384" customWidth="1"/>
    <col min="14600" max="14600" width="28.125" style="384" customWidth="1"/>
    <col min="14601" max="14601" width="12.625" style="384" customWidth="1"/>
    <col min="14602" max="14605" width="11.625" style="384" customWidth="1"/>
    <col min="14606" max="14606" width="9.625" style="384" customWidth="1"/>
    <col min="14607" max="14607" width="11.625" style="384" customWidth="1"/>
    <col min="14608" max="14848" width="9" style="384"/>
    <col min="14849" max="14849" width="4.625" style="384" customWidth="1"/>
    <col min="14850" max="14850" width="9.125" style="384" customWidth="1"/>
    <col min="14851" max="14851" width="10.625" style="384" customWidth="1"/>
    <col min="14852" max="14852" width="16.625" style="384" customWidth="1"/>
    <col min="14853" max="14853" width="22.625" style="384" customWidth="1"/>
    <col min="14854" max="14855" width="17.125" style="384" customWidth="1"/>
    <col min="14856" max="14856" width="28.125" style="384" customWidth="1"/>
    <col min="14857" max="14857" width="12.625" style="384" customWidth="1"/>
    <col min="14858" max="14861" width="11.625" style="384" customWidth="1"/>
    <col min="14862" max="14862" width="9.625" style="384" customWidth="1"/>
    <col min="14863" max="14863" width="11.625" style="384" customWidth="1"/>
    <col min="14864" max="15104" width="9" style="384"/>
    <col min="15105" max="15105" width="4.625" style="384" customWidth="1"/>
    <col min="15106" max="15106" width="9.125" style="384" customWidth="1"/>
    <col min="15107" max="15107" width="10.625" style="384" customWidth="1"/>
    <col min="15108" max="15108" width="16.625" style="384" customWidth="1"/>
    <col min="15109" max="15109" width="22.625" style="384" customWidth="1"/>
    <col min="15110" max="15111" width="17.125" style="384" customWidth="1"/>
    <col min="15112" max="15112" width="28.125" style="384" customWidth="1"/>
    <col min="15113" max="15113" width="12.625" style="384" customWidth="1"/>
    <col min="15114" max="15117" width="11.625" style="384" customWidth="1"/>
    <col min="15118" max="15118" width="9.625" style="384" customWidth="1"/>
    <col min="15119" max="15119" width="11.625" style="384" customWidth="1"/>
    <col min="15120" max="15360" width="9" style="384"/>
    <col min="15361" max="15361" width="4.625" style="384" customWidth="1"/>
    <col min="15362" max="15362" width="9.125" style="384" customWidth="1"/>
    <col min="15363" max="15363" width="10.625" style="384" customWidth="1"/>
    <col min="15364" max="15364" width="16.625" style="384" customWidth="1"/>
    <col min="15365" max="15365" width="22.625" style="384" customWidth="1"/>
    <col min="15366" max="15367" width="17.125" style="384" customWidth="1"/>
    <col min="15368" max="15368" width="28.125" style="384" customWidth="1"/>
    <col min="15369" max="15369" width="12.625" style="384" customWidth="1"/>
    <col min="15370" max="15373" width="11.625" style="384" customWidth="1"/>
    <col min="15374" max="15374" width="9.625" style="384" customWidth="1"/>
    <col min="15375" max="15375" width="11.625" style="384" customWidth="1"/>
    <col min="15376" max="15616" width="9" style="384"/>
    <col min="15617" max="15617" width="4.625" style="384" customWidth="1"/>
    <col min="15618" max="15618" width="9.125" style="384" customWidth="1"/>
    <col min="15619" max="15619" width="10.625" style="384" customWidth="1"/>
    <col min="15620" max="15620" width="16.625" style="384" customWidth="1"/>
    <col min="15621" max="15621" width="22.625" style="384" customWidth="1"/>
    <col min="15622" max="15623" width="17.125" style="384" customWidth="1"/>
    <col min="15624" max="15624" width="28.125" style="384" customWidth="1"/>
    <col min="15625" max="15625" width="12.625" style="384" customWidth="1"/>
    <col min="15626" max="15629" width="11.625" style="384" customWidth="1"/>
    <col min="15630" max="15630" width="9.625" style="384" customWidth="1"/>
    <col min="15631" max="15631" width="11.625" style="384" customWidth="1"/>
    <col min="15632" max="15872" width="9" style="384"/>
    <col min="15873" max="15873" width="4.625" style="384" customWidth="1"/>
    <col min="15874" max="15874" width="9.125" style="384" customWidth="1"/>
    <col min="15875" max="15875" width="10.625" style="384" customWidth="1"/>
    <col min="15876" max="15876" width="16.625" style="384" customWidth="1"/>
    <col min="15877" max="15877" width="22.625" style="384" customWidth="1"/>
    <col min="15878" max="15879" width="17.125" style="384" customWidth="1"/>
    <col min="15880" max="15880" width="28.125" style="384" customWidth="1"/>
    <col min="15881" max="15881" width="12.625" style="384" customWidth="1"/>
    <col min="15882" max="15885" width="11.625" style="384" customWidth="1"/>
    <col min="15886" max="15886" width="9.625" style="384" customWidth="1"/>
    <col min="15887" max="15887" width="11.625" style="384" customWidth="1"/>
    <col min="15888" max="16128" width="9" style="384"/>
    <col min="16129" max="16129" width="4.625" style="384" customWidth="1"/>
    <col min="16130" max="16130" width="9.125" style="384" customWidth="1"/>
    <col min="16131" max="16131" width="10.625" style="384" customWidth="1"/>
    <col min="16132" max="16132" width="16.625" style="384" customWidth="1"/>
    <col min="16133" max="16133" width="22.625" style="384" customWidth="1"/>
    <col min="16134" max="16135" width="17.125" style="384" customWidth="1"/>
    <col min="16136" max="16136" width="28.125" style="384" customWidth="1"/>
    <col min="16137" max="16137" width="12.625" style="384" customWidth="1"/>
    <col min="16138" max="16141" width="11.625" style="384" customWidth="1"/>
    <col min="16142" max="16142" width="9.625" style="384" customWidth="1"/>
    <col min="16143" max="16143" width="11.625" style="384" customWidth="1"/>
    <col min="16144" max="16384" width="9" style="384"/>
  </cols>
  <sheetData>
    <row r="1" spans="1:16" ht="21" x14ac:dyDescent="0.45">
      <c r="A1" s="512" t="s">
        <v>1913</v>
      </c>
      <c r="B1" s="512"/>
      <c r="C1" s="512"/>
      <c r="D1" s="512"/>
      <c r="E1" s="512"/>
      <c r="F1" s="512"/>
      <c r="G1" s="512"/>
      <c r="H1" s="512"/>
      <c r="I1" s="512"/>
      <c r="J1" s="512"/>
      <c r="K1" s="512"/>
      <c r="L1" s="512"/>
      <c r="M1" s="512"/>
      <c r="N1" s="512"/>
      <c r="O1" s="512"/>
    </row>
    <row r="2" spans="1:16" ht="21" x14ac:dyDescent="0.45">
      <c r="A2" s="512" t="s">
        <v>1920</v>
      </c>
      <c r="B2" s="512"/>
      <c r="C2" s="512"/>
      <c r="D2" s="512"/>
      <c r="E2" s="512"/>
      <c r="F2" s="512"/>
      <c r="G2" s="512"/>
      <c r="H2" s="512"/>
      <c r="I2" s="512"/>
      <c r="J2" s="512"/>
      <c r="K2" s="512"/>
      <c r="L2" s="512"/>
      <c r="M2" s="512"/>
      <c r="N2" s="512"/>
      <c r="O2" s="512"/>
    </row>
    <row r="3" spans="1:16" ht="21" x14ac:dyDescent="0.45">
      <c r="A3" s="512" t="s">
        <v>2265</v>
      </c>
      <c r="B3" s="512"/>
      <c r="C3" s="512"/>
      <c r="D3" s="512"/>
      <c r="E3" s="512"/>
      <c r="F3" s="512"/>
      <c r="G3" s="512"/>
      <c r="H3" s="512"/>
      <c r="I3" s="512"/>
      <c r="J3" s="512"/>
      <c r="K3" s="512"/>
      <c r="L3" s="512"/>
      <c r="M3" s="512"/>
      <c r="N3" s="512"/>
      <c r="O3" s="512"/>
    </row>
    <row r="5" spans="1:16" s="386" customFormat="1" ht="38.25" customHeight="1" x14ac:dyDescent="0.4">
      <c r="A5" s="520" t="s">
        <v>253</v>
      </c>
      <c r="B5" s="520" t="s">
        <v>254</v>
      </c>
      <c r="C5" s="520"/>
      <c r="D5" s="520"/>
      <c r="E5" s="520"/>
      <c r="F5" s="520"/>
      <c r="G5" s="520"/>
      <c r="H5" s="520"/>
      <c r="I5" s="520"/>
      <c r="J5" s="515" t="s">
        <v>2148</v>
      </c>
      <c r="K5" s="515"/>
      <c r="L5" s="515"/>
      <c r="M5" s="515"/>
      <c r="N5" s="515"/>
      <c r="O5" s="524" t="s">
        <v>256</v>
      </c>
      <c r="P5" s="385"/>
    </row>
    <row r="6" spans="1:16" s="387" customFormat="1" ht="56.25" customHeight="1" x14ac:dyDescent="0.2">
      <c r="A6" s="520"/>
      <c r="B6" s="525" t="s">
        <v>257</v>
      </c>
      <c r="C6" s="513" t="s">
        <v>2</v>
      </c>
      <c r="D6" s="513" t="s">
        <v>258</v>
      </c>
      <c r="E6" s="513" t="s">
        <v>259</v>
      </c>
      <c r="F6" s="513" t="s">
        <v>260</v>
      </c>
      <c r="G6" s="513" t="s">
        <v>261</v>
      </c>
      <c r="H6" s="513" t="s">
        <v>262</v>
      </c>
      <c r="I6" s="508" t="s">
        <v>263</v>
      </c>
      <c r="J6" s="510" t="s">
        <v>2239</v>
      </c>
      <c r="K6" s="511"/>
      <c r="L6" s="522" t="s">
        <v>265</v>
      </c>
      <c r="M6" s="522"/>
      <c r="N6" s="522"/>
      <c r="O6" s="524"/>
    </row>
    <row r="7" spans="1:16" s="386" customFormat="1" ht="59.25" customHeight="1" x14ac:dyDescent="0.4">
      <c r="A7" s="520"/>
      <c r="B7" s="525"/>
      <c r="C7" s="513"/>
      <c r="D7" s="513"/>
      <c r="E7" s="513"/>
      <c r="F7" s="513"/>
      <c r="G7" s="513"/>
      <c r="H7" s="513"/>
      <c r="I7" s="508"/>
      <c r="J7" s="337" t="s">
        <v>266</v>
      </c>
      <c r="K7" s="337" t="s">
        <v>267</v>
      </c>
      <c r="L7" s="338" t="s">
        <v>266</v>
      </c>
      <c r="M7" s="338" t="s">
        <v>267</v>
      </c>
      <c r="N7" s="338" t="s">
        <v>1921</v>
      </c>
      <c r="O7" s="524"/>
      <c r="P7" s="385"/>
    </row>
    <row r="8" spans="1:16" s="395" customFormat="1" x14ac:dyDescent="0.2">
      <c r="A8" s="388" t="s">
        <v>739</v>
      </c>
      <c r="B8" s="389"/>
      <c r="C8" s="390"/>
      <c r="D8" s="390"/>
      <c r="E8" s="391"/>
      <c r="F8" s="391"/>
      <c r="G8" s="391"/>
      <c r="H8" s="392"/>
      <c r="I8" s="393">
        <f>SUM(I9:I13)</f>
        <v>3208160</v>
      </c>
      <c r="J8" s="393">
        <f t="shared" ref="J8:O8" si="0">SUM(J9:J13)</f>
        <v>0</v>
      </c>
      <c r="K8" s="393">
        <f t="shared" si="0"/>
        <v>0</v>
      </c>
      <c r="L8" s="393">
        <f t="shared" si="0"/>
        <v>22150</v>
      </c>
      <c r="M8" s="393">
        <f t="shared" si="0"/>
        <v>22150</v>
      </c>
      <c r="N8" s="393">
        <f t="shared" si="0"/>
        <v>0</v>
      </c>
      <c r="O8" s="394">
        <f t="shared" si="0"/>
        <v>3163860</v>
      </c>
    </row>
    <row r="9" spans="1:16" s="353" customFormat="1" ht="112.5" x14ac:dyDescent="0.2">
      <c r="A9" s="346">
        <v>1</v>
      </c>
      <c r="B9" s="347" t="s">
        <v>2019</v>
      </c>
      <c r="C9" s="396" t="s">
        <v>2020</v>
      </c>
      <c r="D9" s="396" t="s">
        <v>2021</v>
      </c>
      <c r="E9" s="350" t="s">
        <v>1185</v>
      </c>
      <c r="F9" s="350" t="s">
        <v>1186</v>
      </c>
      <c r="G9" s="350" t="s">
        <v>1763</v>
      </c>
      <c r="H9" s="351" t="s">
        <v>2266</v>
      </c>
      <c r="I9" s="397">
        <v>295000</v>
      </c>
      <c r="J9" s="397">
        <v>0</v>
      </c>
      <c r="K9" s="397">
        <v>0</v>
      </c>
      <c r="L9" s="397">
        <v>0</v>
      </c>
      <c r="M9" s="397">
        <v>0</v>
      </c>
      <c r="N9" s="398" t="s">
        <v>1786</v>
      </c>
      <c r="O9" s="352">
        <f>+I9-(J9+K9+L9+M9)</f>
        <v>295000</v>
      </c>
    </row>
    <row r="10" spans="1:16" s="353" customFormat="1" ht="131.25" x14ac:dyDescent="0.2">
      <c r="A10" s="346">
        <v>2</v>
      </c>
      <c r="B10" s="347" t="s">
        <v>2151</v>
      </c>
      <c r="C10" s="396" t="s">
        <v>2152</v>
      </c>
      <c r="D10" s="396" t="s">
        <v>2153</v>
      </c>
      <c r="E10" s="350" t="s">
        <v>1185</v>
      </c>
      <c r="F10" s="350" t="s">
        <v>1186</v>
      </c>
      <c r="G10" s="350" t="s">
        <v>2154</v>
      </c>
      <c r="H10" s="351" t="s">
        <v>2267</v>
      </c>
      <c r="I10" s="397">
        <v>1707100</v>
      </c>
      <c r="J10" s="397">
        <v>0</v>
      </c>
      <c r="K10" s="397">
        <v>0</v>
      </c>
      <c r="L10" s="397">
        <v>0</v>
      </c>
      <c r="M10" s="397">
        <v>0</v>
      </c>
      <c r="N10" s="398" t="s">
        <v>1786</v>
      </c>
      <c r="O10" s="352">
        <f>+I10-(J10+K10+L10+M10)</f>
        <v>1707100</v>
      </c>
    </row>
    <row r="11" spans="1:16" s="353" customFormat="1" ht="131.25" x14ac:dyDescent="0.2">
      <c r="A11" s="346">
        <v>3</v>
      </c>
      <c r="B11" s="347" t="s">
        <v>2151</v>
      </c>
      <c r="C11" s="396" t="s">
        <v>2152</v>
      </c>
      <c r="D11" s="396" t="s">
        <v>2153</v>
      </c>
      <c r="E11" s="350" t="s">
        <v>2155</v>
      </c>
      <c r="F11" s="350" t="s">
        <v>1186</v>
      </c>
      <c r="G11" s="350" t="s">
        <v>2154</v>
      </c>
      <c r="H11" s="351" t="s">
        <v>2268</v>
      </c>
      <c r="I11" s="397">
        <v>687060</v>
      </c>
      <c r="J11" s="397">
        <v>0</v>
      </c>
      <c r="K11" s="397">
        <v>0</v>
      </c>
      <c r="L11" s="397">
        <v>0</v>
      </c>
      <c r="M11" s="397">
        <v>0</v>
      </c>
      <c r="N11" s="398" t="s">
        <v>1786</v>
      </c>
      <c r="O11" s="352">
        <f>+I11-(J11+K11+L11+M11)</f>
        <v>687060</v>
      </c>
    </row>
    <row r="12" spans="1:16" s="353" customFormat="1" ht="93.75" x14ac:dyDescent="0.2">
      <c r="A12" s="346">
        <v>4</v>
      </c>
      <c r="B12" s="347" t="s">
        <v>2240</v>
      </c>
      <c r="C12" s="396" t="s">
        <v>2241</v>
      </c>
      <c r="D12" s="396" t="s">
        <v>2242</v>
      </c>
      <c r="E12" s="350" t="s">
        <v>1185</v>
      </c>
      <c r="F12" s="350" t="s">
        <v>1186</v>
      </c>
      <c r="G12" s="350" t="s">
        <v>1121</v>
      </c>
      <c r="H12" s="351" t="s">
        <v>2269</v>
      </c>
      <c r="I12" s="397">
        <f>44300+455700</f>
        <v>500000</v>
      </c>
      <c r="J12" s="397">
        <v>0</v>
      </c>
      <c r="K12" s="397">
        <v>0</v>
      </c>
      <c r="L12" s="397">
        <v>22150</v>
      </c>
      <c r="M12" s="397">
        <v>22150</v>
      </c>
      <c r="N12" s="398"/>
      <c r="O12" s="352">
        <f>+I12-(J12+K12+L12+M12)</f>
        <v>455700</v>
      </c>
    </row>
    <row r="13" spans="1:16" s="353" customFormat="1" ht="112.5" x14ac:dyDescent="0.2">
      <c r="A13" s="346">
        <v>5</v>
      </c>
      <c r="B13" s="347" t="s">
        <v>2270</v>
      </c>
      <c r="C13" s="396" t="s">
        <v>2271</v>
      </c>
      <c r="D13" s="396" t="s">
        <v>2272</v>
      </c>
      <c r="E13" s="350" t="s">
        <v>1173</v>
      </c>
      <c r="F13" s="350" t="s">
        <v>739</v>
      </c>
      <c r="G13" s="350" t="s">
        <v>1162</v>
      </c>
      <c r="H13" s="351" t="s">
        <v>2273</v>
      </c>
      <c r="I13" s="397">
        <v>19000</v>
      </c>
      <c r="J13" s="397">
        <v>0</v>
      </c>
      <c r="K13" s="397"/>
      <c r="L13" s="397"/>
      <c r="M13" s="397"/>
      <c r="N13" s="398" t="s">
        <v>1631</v>
      </c>
      <c r="O13" s="352">
        <f>+I13-(J13+K13+L13+M13)</f>
        <v>19000</v>
      </c>
    </row>
    <row r="14" spans="1:16" s="395" customFormat="1" x14ac:dyDescent="0.2">
      <c r="A14" s="388" t="s">
        <v>360</v>
      </c>
      <c r="B14" s="389"/>
      <c r="C14" s="390"/>
      <c r="D14" s="390"/>
      <c r="E14" s="391"/>
      <c r="F14" s="391"/>
      <c r="G14" s="391"/>
      <c r="H14" s="392"/>
      <c r="I14" s="393">
        <f>SUM(I15)</f>
        <v>245100</v>
      </c>
      <c r="J14" s="393">
        <f t="shared" ref="J14:O14" si="1">SUM(J15)</f>
        <v>0</v>
      </c>
      <c r="K14" s="393">
        <f t="shared" si="1"/>
        <v>0</v>
      </c>
      <c r="L14" s="393">
        <f t="shared" si="1"/>
        <v>19608</v>
      </c>
      <c r="M14" s="393">
        <f t="shared" si="1"/>
        <v>19608</v>
      </c>
      <c r="N14" s="393">
        <f t="shared" si="1"/>
        <v>0</v>
      </c>
      <c r="O14" s="394">
        <f t="shared" si="1"/>
        <v>205884</v>
      </c>
    </row>
    <row r="15" spans="1:16" s="353" customFormat="1" ht="150" x14ac:dyDescent="0.2">
      <c r="A15" s="346">
        <v>1</v>
      </c>
      <c r="B15" s="347" t="s">
        <v>2270</v>
      </c>
      <c r="C15" s="396" t="s">
        <v>2274</v>
      </c>
      <c r="D15" s="396" t="s">
        <v>2275</v>
      </c>
      <c r="E15" s="350" t="s">
        <v>2276</v>
      </c>
      <c r="F15" s="350" t="s">
        <v>360</v>
      </c>
      <c r="G15" s="350" t="s">
        <v>336</v>
      </c>
      <c r="H15" s="351" t="s">
        <v>2277</v>
      </c>
      <c r="I15" s="397">
        <v>245100</v>
      </c>
      <c r="J15" s="397">
        <v>0</v>
      </c>
      <c r="K15" s="397">
        <v>0</v>
      </c>
      <c r="L15" s="397">
        <v>19608</v>
      </c>
      <c r="M15" s="397">
        <v>19608</v>
      </c>
      <c r="N15" s="398">
        <v>0</v>
      </c>
      <c r="O15" s="352">
        <f>+I15-(SUM(J15:N15))</f>
        <v>205884</v>
      </c>
    </row>
    <row r="16" spans="1:16" s="395" customFormat="1" x14ac:dyDescent="0.2">
      <c r="A16" s="388" t="s">
        <v>2126</v>
      </c>
      <c r="B16" s="389"/>
      <c r="C16" s="390"/>
      <c r="D16" s="390"/>
      <c r="E16" s="391"/>
      <c r="F16" s="391"/>
      <c r="G16" s="391"/>
      <c r="H16" s="392"/>
      <c r="I16" s="393">
        <f>SUM(I17)</f>
        <v>171000</v>
      </c>
      <c r="J16" s="393">
        <f t="shared" ref="J16:O16" si="2">SUM(J17)</f>
        <v>0</v>
      </c>
      <c r="K16" s="393">
        <f t="shared" si="2"/>
        <v>0</v>
      </c>
      <c r="L16" s="393">
        <f t="shared" si="2"/>
        <v>8550</v>
      </c>
      <c r="M16" s="393">
        <f t="shared" si="2"/>
        <v>8550</v>
      </c>
      <c r="N16" s="393">
        <f t="shared" si="2"/>
        <v>0</v>
      </c>
      <c r="O16" s="394">
        <f t="shared" si="2"/>
        <v>153900</v>
      </c>
    </row>
    <row r="17" spans="1:15" s="353" customFormat="1" ht="168.75" x14ac:dyDescent="0.2">
      <c r="A17" s="346">
        <v>1</v>
      </c>
      <c r="B17" s="347" t="s">
        <v>2127</v>
      </c>
      <c r="C17" s="396" t="s">
        <v>2145</v>
      </c>
      <c r="D17" s="396" t="s">
        <v>2146</v>
      </c>
      <c r="E17" s="350" t="s">
        <v>2147</v>
      </c>
      <c r="F17" s="350" t="s">
        <v>2126</v>
      </c>
      <c r="G17" s="350" t="s">
        <v>1198</v>
      </c>
      <c r="H17" s="351" t="s">
        <v>2278</v>
      </c>
      <c r="I17" s="397">
        <v>171000</v>
      </c>
      <c r="J17" s="397">
        <v>0</v>
      </c>
      <c r="K17" s="397">
        <v>0</v>
      </c>
      <c r="L17" s="397">
        <v>8550</v>
      </c>
      <c r="M17" s="397">
        <v>8550</v>
      </c>
      <c r="N17" s="398"/>
      <c r="O17" s="352">
        <f>+I17-(J17+K17+L17+M17)</f>
        <v>153900</v>
      </c>
    </row>
    <row r="18" spans="1:15" s="395" customFormat="1" x14ac:dyDescent="0.2">
      <c r="A18" s="388" t="s">
        <v>1693</v>
      </c>
      <c r="B18" s="389"/>
      <c r="C18" s="390"/>
      <c r="D18" s="390"/>
      <c r="E18" s="391"/>
      <c r="F18" s="391"/>
      <c r="G18" s="391"/>
      <c r="H18" s="392"/>
      <c r="I18" s="393">
        <f>SUM(I19:I39)</f>
        <v>8037163.7300000004</v>
      </c>
      <c r="J18" s="393">
        <f t="shared" ref="J18:O18" si="3">SUM(J19:J39)</f>
        <v>231874.92</v>
      </c>
      <c r="K18" s="393">
        <f t="shared" si="3"/>
        <v>231874.92</v>
      </c>
      <c r="L18" s="393">
        <f t="shared" si="3"/>
        <v>48978.15</v>
      </c>
      <c r="M18" s="393">
        <f t="shared" si="3"/>
        <v>48978.15</v>
      </c>
      <c r="N18" s="393">
        <f t="shared" si="3"/>
        <v>0</v>
      </c>
      <c r="O18" s="394">
        <f t="shared" si="3"/>
        <v>7475457.5899999999</v>
      </c>
    </row>
    <row r="19" spans="1:15" s="353" customFormat="1" ht="112.5" x14ac:dyDescent="0.2">
      <c r="A19" s="346">
        <v>1</v>
      </c>
      <c r="B19" s="347" t="s">
        <v>2022</v>
      </c>
      <c r="C19" s="396" t="s">
        <v>2023</v>
      </c>
      <c r="D19" s="396" t="s">
        <v>2024</v>
      </c>
      <c r="E19" s="350" t="s">
        <v>2025</v>
      </c>
      <c r="F19" s="350" t="s">
        <v>161</v>
      </c>
      <c r="G19" s="350" t="s">
        <v>915</v>
      </c>
      <c r="H19" s="351" t="s">
        <v>2279</v>
      </c>
      <c r="I19" s="397">
        <v>30000</v>
      </c>
      <c r="J19" s="397">
        <v>2400</v>
      </c>
      <c r="K19" s="397">
        <v>2400</v>
      </c>
      <c r="L19" s="397">
        <v>0</v>
      </c>
      <c r="M19" s="397">
        <v>0</v>
      </c>
      <c r="N19" s="397"/>
      <c r="O19" s="352">
        <f>+I19-(J19+K19+L19+M19+N19)</f>
        <v>25200</v>
      </c>
    </row>
    <row r="20" spans="1:15" s="353" customFormat="1" ht="187.5" x14ac:dyDescent="0.2">
      <c r="A20" s="346">
        <v>2</v>
      </c>
      <c r="B20" s="347" t="s">
        <v>2026</v>
      </c>
      <c r="C20" s="396" t="s">
        <v>2027</v>
      </c>
      <c r="D20" s="396" t="s">
        <v>2028</v>
      </c>
      <c r="E20" s="350" t="s">
        <v>1789</v>
      </c>
      <c r="F20" s="350" t="s">
        <v>161</v>
      </c>
      <c r="G20" s="350" t="s">
        <v>930</v>
      </c>
      <c r="H20" s="351" t="s">
        <v>2280</v>
      </c>
      <c r="I20" s="397">
        <v>94526.5</v>
      </c>
      <c r="J20" s="397">
        <v>0</v>
      </c>
      <c r="K20" s="397">
        <v>0</v>
      </c>
      <c r="L20" s="397">
        <v>0</v>
      </c>
      <c r="M20" s="397">
        <v>0</v>
      </c>
      <c r="N20" s="398" t="s">
        <v>1786</v>
      </c>
      <c r="O20" s="352">
        <f>+I20-(J20+K20+L20+M20)</f>
        <v>94526.5</v>
      </c>
    </row>
    <row r="21" spans="1:15" s="353" customFormat="1" ht="168.75" x14ac:dyDescent="0.2">
      <c r="A21" s="346">
        <v>3</v>
      </c>
      <c r="B21" s="347" t="s">
        <v>2026</v>
      </c>
      <c r="C21" s="396" t="s">
        <v>2027</v>
      </c>
      <c r="D21" s="396" t="s">
        <v>2028</v>
      </c>
      <c r="E21" s="350" t="s">
        <v>1790</v>
      </c>
      <c r="F21" s="350" t="s">
        <v>161</v>
      </c>
      <c r="G21" s="350" t="s">
        <v>930</v>
      </c>
      <c r="H21" s="351" t="s">
        <v>2281</v>
      </c>
      <c r="I21" s="397">
        <v>416753</v>
      </c>
      <c r="J21" s="397">
        <v>0</v>
      </c>
      <c r="K21" s="397">
        <v>0</v>
      </c>
      <c r="L21" s="397">
        <v>0</v>
      </c>
      <c r="M21" s="397">
        <v>0</v>
      </c>
      <c r="N21" s="398" t="s">
        <v>1786</v>
      </c>
      <c r="O21" s="352">
        <f>+I21-(J21+K21+L21+M21)</f>
        <v>416753</v>
      </c>
    </row>
    <row r="22" spans="1:15" s="353" customFormat="1" ht="150" x14ac:dyDescent="0.2">
      <c r="A22" s="346">
        <v>4</v>
      </c>
      <c r="B22" s="347" t="s">
        <v>2029</v>
      </c>
      <c r="C22" s="396" t="s">
        <v>2030</v>
      </c>
      <c r="D22" s="396" t="s">
        <v>2031</v>
      </c>
      <c r="E22" s="350" t="s">
        <v>914</v>
      </c>
      <c r="F22" s="350" t="s">
        <v>161</v>
      </c>
      <c r="G22" s="350" t="s">
        <v>1752</v>
      </c>
      <c r="H22" s="351" t="s">
        <v>2282</v>
      </c>
      <c r="I22" s="397">
        <v>800000</v>
      </c>
      <c r="J22" s="397">
        <v>64000</v>
      </c>
      <c r="K22" s="397">
        <v>64000</v>
      </c>
      <c r="L22" s="397">
        <v>0</v>
      </c>
      <c r="M22" s="397">
        <v>0</v>
      </c>
      <c r="N22" s="398"/>
      <c r="O22" s="352">
        <f>+I22-(J22+K22+L22+M22+N22)</f>
        <v>672000</v>
      </c>
    </row>
    <row r="23" spans="1:15" s="353" customFormat="1" ht="187.5" x14ac:dyDescent="0.2">
      <c r="A23" s="346">
        <v>5</v>
      </c>
      <c r="B23" s="347" t="s">
        <v>2032</v>
      </c>
      <c r="C23" s="396" t="s">
        <v>2033</v>
      </c>
      <c r="D23" s="396" t="s">
        <v>2034</v>
      </c>
      <c r="E23" s="350" t="s">
        <v>1841</v>
      </c>
      <c r="F23" s="350" t="s">
        <v>161</v>
      </c>
      <c r="G23" s="350" t="s">
        <v>1758</v>
      </c>
      <c r="H23" s="351" t="s">
        <v>2283</v>
      </c>
      <c r="I23" s="397">
        <f>781527.95+312611.18+41133.05+16453.22</f>
        <v>1151725.3999999999</v>
      </c>
      <c r="J23" s="397">
        <v>92138.03</v>
      </c>
      <c r="K23" s="397">
        <v>92138.03</v>
      </c>
      <c r="L23" s="397">
        <v>0</v>
      </c>
      <c r="M23" s="397">
        <v>0</v>
      </c>
      <c r="N23" s="398"/>
      <c r="O23" s="352">
        <f t="shared" ref="O23:O30" si="4">+I23-(J23+K23+L23+M23)</f>
        <v>967449.33999999985</v>
      </c>
    </row>
    <row r="24" spans="1:15" s="353" customFormat="1" ht="168.75" x14ac:dyDescent="0.2">
      <c r="A24" s="346">
        <v>6</v>
      </c>
      <c r="B24" s="347" t="s">
        <v>2035</v>
      </c>
      <c r="C24" s="396" t="s">
        <v>2036</v>
      </c>
      <c r="D24" s="396" t="s">
        <v>2037</v>
      </c>
      <c r="E24" s="350" t="s">
        <v>1841</v>
      </c>
      <c r="F24" s="350" t="s">
        <v>161</v>
      </c>
      <c r="G24" s="350" t="s">
        <v>1758</v>
      </c>
      <c r="H24" s="351" t="s">
        <v>2284</v>
      </c>
      <c r="I24" s="397">
        <v>24679.83</v>
      </c>
      <c r="J24" s="397">
        <v>1974.39</v>
      </c>
      <c r="K24" s="397">
        <v>1974.39</v>
      </c>
      <c r="L24" s="397">
        <v>0</v>
      </c>
      <c r="M24" s="397">
        <v>0</v>
      </c>
      <c r="N24" s="398"/>
      <c r="O24" s="352">
        <f t="shared" si="4"/>
        <v>20731.050000000003</v>
      </c>
    </row>
    <row r="25" spans="1:15" s="353" customFormat="1" ht="131.25" x14ac:dyDescent="0.2">
      <c r="A25" s="346">
        <v>7</v>
      </c>
      <c r="B25" s="347" t="s">
        <v>2019</v>
      </c>
      <c r="C25" s="396" t="s">
        <v>2020</v>
      </c>
      <c r="D25" s="396" t="s">
        <v>2021</v>
      </c>
      <c r="E25" s="350" t="s">
        <v>1810</v>
      </c>
      <c r="F25" s="350" t="s">
        <v>161</v>
      </c>
      <c r="G25" s="350" t="s">
        <v>1763</v>
      </c>
      <c r="H25" s="351" t="s">
        <v>2285</v>
      </c>
      <c r="I25" s="397">
        <v>492990</v>
      </c>
      <c r="J25" s="397">
        <v>0</v>
      </c>
      <c r="K25" s="397">
        <v>0</v>
      </c>
      <c r="L25" s="397">
        <v>0</v>
      </c>
      <c r="M25" s="397">
        <v>0</v>
      </c>
      <c r="N25" s="398" t="s">
        <v>1786</v>
      </c>
      <c r="O25" s="352">
        <f t="shared" si="4"/>
        <v>492990</v>
      </c>
    </row>
    <row r="26" spans="1:15" s="353" customFormat="1" ht="131.25" x14ac:dyDescent="0.2">
      <c r="A26" s="346">
        <v>8</v>
      </c>
      <c r="B26" s="347" t="s">
        <v>2038</v>
      </c>
      <c r="C26" s="396" t="s">
        <v>2039</v>
      </c>
      <c r="D26" s="396" t="s">
        <v>2040</v>
      </c>
      <c r="E26" s="350" t="s">
        <v>1018</v>
      </c>
      <c r="F26" s="350" t="s">
        <v>161</v>
      </c>
      <c r="G26" s="350" t="s">
        <v>2041</v>
      </c>
      <c r="H26" s="351" t="s">
        <v>2286</v>
      </c>
      <c r="I26" s="397">
        <v>13932</v>
      </c>
      <c r="J26" s="397">
        <v>0</v>
      </c>
      <c r="K26" s="397">
        <v>0</v>
      </c>
      <c r="L26" s="397">
        <v>0</v>
      </c>
      <c r="M26" s="397">
        <v>0</v>
      </c>
      <c r="N26" s="398" t="s">
        <v>1631</v>
      </c>
      <c r="O26" s="352">
        <f t="shared" si="4"/>
        <v>13932</v>
      </c>
    </row>
    <row r="27" spans="1:15" s="353" customFormat="1" ht="112.5" x14ac:dyDescent="0.2">
      <c r="A27" s="346">
        <v>9</v>
      </c>
      <c r="B27" s="347" t="s">
        <v>2042</v>
      </c>
      <c r="C27" s="396" t="s">
        <v>2043</v>
      </c>
      <c r="D27" s="396" t="s">
        <v>2044</v>
      </c>
      <c r="E27" s="350" t="s">
        <v>957</v>
      </c>
      <c r="F27" s="350" t="s">
        <v>1693</v>
      </c>
      <c r="G27" s="350" t="s">
        <v>1198</v>
      </c>
      <c r="H27" s="351" t="s">
        <v>2287</v>
      </c>
      <c r="I27" s="397">
        <v>279391</v>
      </c>
      <c r="J27" s="397">
        <v>0</v>
      </c>
      <c r="K27" s="397">
        <v>0</v>
      </c>
      <c r="L27" s="397">
        <v>12465.65</v>
      </c>
      <c r="M27" s="397">
        <v>12465.65</v>
      </c>
      <c r="N27" s="398"/>
      <c r="O27" s="352">
        <f t="shared" si="4"/>
        <v>254459.7</v>
      </c>
    </row>
    <row r="28" spans="1:15" s="353" customFormat="1" ht="112.5" x14ac:dyDescent="0.2">
      <c r="A28" s="346">
        <v>10</v>
      </c>
      <c r="B28" s="347" t="s">
        <v>2127</v>
      </c>
      <c r="C28" s="396" t="s">
        <v>2128</v>
      </c>
      <c r="D28" s="396" t="s">
        <v>2129</v>
      </c>
      <c r="E28" s="350" t="s">
        <v>2165</v>
      </c>
      <c r="F28" s="350" t="s">
        <v>161</v>
      </c>
      <c r="G28" s="350" t="s">
        <v>1198</v>
      </c>
      <c r="H28" s="351" t="s">
        <v>2288</v>
      </c>
      <c r="I28" s="397">
        <v>128250</v>
      </c>
      <c r="J28" s="397">
        <v>0</v>
      </c>
      <c r="K28" s="397">
        <v>0</v>
      </c>
      <c r="L28" s="397">
        <v>6412.5</v>
      </c>
      <c r="M28" s="397">
        <v>6412.5</v>
      </c>
      <c r="N28" s="398"/>
      <c r="O28" s="352">
        <f t="shared" si="4"/>
        <v>115425</v>
      </c>
    </row>
    <row r="29" spans="1:15" s="353" customFormat="1" ht="131.25" x14ac:dyDescent="0.2">
      <c r="A29" s="346">
        <v>11</v>
      </c>
      <c r="B29" s="347" t="s">
        <v>2156</v>
      </c>
      <c r="C29" s="396" t="s">
        <v>2157</v>
      </c>
      <c r="D29" s="396" t="s">
        <v>2158</v>
      </c>
      <c r="E29" s="350" t="s">
        <v>1300</v>
      </c>
      <c r="F29" s="350" t="s">
        <v>161</v>
      </c>
      <c r="G29" s="350" t="s">
        <v>1198</v>
      </c>
      <c r="H29" s="351" t="s">
        <v>2289</v>
      </c>
      <c r="I29" s="397">
        <f>45000+455000</f>
        <v>500000</v>
      </c>
      <c r="J29" s="397">
        <v>0</v>
      </c>
      <c r="K29" s="397">
        <v>0</v>
      </c>
      <c r="L29" s="397">
        <v>22500</v>
      </c>
      <c r="M29" s="397">
        <v>22500</v>
      </c>
      <c r="N29" s="398"/>
      <c r="O29" s="352">
        <f t="shared" si="4"/>
        <v>455000</v>
      </c>
    </row>
    <row r="30" spans="1:15" s="353" customFormat="1" ht="93.75" x14ac:dyDescent="0.2">
      <c r="A30" s="346">
        <v>12</v>
      </c>
      <c r="B30" s="347" t="s">
        <v>2159</v>
      </c>
      <c r="C30" s="396" t="s">
        <v>2160</v>
      </c>
      <c r="D30" s="396" t="s">
        <v>2161</v>
      </c>
      <c r="E30" s="350" t="s">
        <v>1810</v>
      </c>
      <c r="F30" s="350" t="s">
        <v>161</v>
      </c>
      <c r="G30" s="350" t="s">
        <v>1198</v>
      </c>
      <c r="H30" s="351" t="s">
        <v>2290</v>
      </c>
      <c r="I30" s="397">
        <v>152000</v>
      </c>
      <c r="J30" s="397">
        <v>0</v>
      </c>
      <c r="K30" s="397">
        <v>0</v>
      </c>
      <c r="L30" s="397">
        <v>7600</v>
      </c>
      <c r="M30" s="397">
        <v>7600</v>
      </c>
      <c r="N30" s="398"/>
      <c r="O30" s="352">
        <f t="shared" si="4"/>
        <v>136800</v>
      </c>
    </row>
    <row r="31" spans="1:15" s="353" customFormat="1" ht="150" x14ac:dyDescent="0.2">
      <c r="A31" s="346">
        <v>13</v>
      </c>
      <c r="B31" s="347" t="s">
        <v>2162</v>
      </c>
      <c r="C31" s="396" t="s">
        <v>2163</v>
      </c>
      <c r="D31" s="396" t="s">
        <v>2164</v>
      </c>
      <c r="E31" s="350" t="s">
        <v>914</v>
      </c>
      <c r="F31" s="350" t="s">
        <v>161</v>
      </c>
      <c r="G31" s="350" t="s">
        <v>1752</v>
      </c>
      <c r="H31" s="351" t="s">
        <v>2291</v>
      </c>
      <c r="I31" s="397">
        <v>800000</v>
      </c>
      <c r="J31" s="397">
        <v>64000</v>
      </c>
      <c r="K31" s="397">
        <v>64000</v>
      </c>
      <c r="L31" s="397">
        <v>0</v>
      </c>
      <c r="M31" s="397">
        <v>0</v>
      </c>
      <c r="N31" s="398"/>
      <c r="O31" s="352">
        <f t="shared" ref="O31:O39" si="5">+I31-(SUM(J31:N31))</f>
        <v>672000</v>
      </c>
    </row>
    <row r="32" spans="1:15" s="353" customFormat="1" ht="168.75" x14ac:dyDescent="0.2">
      <c r="A32" s="346">
        <v>14</v>
      </c>
      <c r="B32" s="347" t="s">
        <v>2151</v>
      </c>
      <c r="C32" s="396" t="s">
        <v>2152</v>
      </c>
      <c r="D32" s="396" t="s">
        <v>2153</v>
      </c>
      <c r="E32" s="350" t="s">
        <v>1810</v>
      </c>
      <c r="F32" s="350" t="s">
        <v>161</v>
      </c>
      <c r="G32" s="350" t="s">
        <v>2154</v>
      </c>
      <c r="H32" s="351" t="s">
        <v>2292</v>
      </c>
      <c r="I32" s="397">
        <v>1785000</v>
      </c>
      <c r="J32" s="397">
        <v>0</v>
      </c>
      <c r="K32" s="397">
        <v>0</v>
      </c>
      <c r="L32" s="397">
        <v>0</v>
      </c>
      <c r="M32" s="397">
        <v>0</v>
      </c>
      <c r="N32" s="398" t="s">
        <v>1786</v>
      </c>
      <c r="O32" s="352">
        <f t="shared" si="5"/>
        <v>1785000</v>
      </c>
    </row>
    <row r="33" spans="1:15" s="353" customFormat="1" ht="131.25" x14ac:dyDescent="0.2">
      <c r="A33" s="346">
        <v>15</v>
      </c>
      <c r="B33" s="347" t="s">
        <v>2151</v>
      </c>
      <c r="C33" s="396" t="s">
        <v>2152</v>
      </c>
      <c r="D33" s="396" t="s">
        <v>2153</v>
      </c>
      <c r="E33" s="350" t="s">
        <v>2165</v>
      </c>
      <c r="F33" s="350" t="s">
        <v>161</v>
      </c>
      <c r="G33" s="350" t="s">
        <v>2154</v>
      </c>
      <c r="H33" s="351" t="s">
        <v>2293</v>
      </c>
      <c r="I33" s="397">
        <v>699050</v>
      </c>
      <c r="J33" s="397">
        <v>0</v>
      </c>
      <c r="K33" s="397">
        <v>0</v>
      </c>
      <c r="L33" s="397">
        <v>0</v>
      </c>
      <c r="M33" s="397">
        <v>0</v>
      </c>
      <c r="N33" s="398" t="s">
        <v>1786</v>
      </c>
      <c r="O33" s="352">
        <f t="shared" si="5"/>
        <v>699050</v>
      </c>
    </row>
    <row r="34" spans="1:15" s="353" customFormat="1" ht="187.5" x14ac:dyDescent="0.2">
      <c r="A34" s="346">
        <v>16</v>
      </c>
      <c r="B34" s="347" t="s">
        <v>2166</v>
      </c>
      <c r="C34" s="396" t="s">
        <v>2167</v>
      </c>
      <c r="D34" s="396" t="s">
        <v>2168</v>
      </c>
      <c r="E34" s="350" t="s">
        <v>1789</v>
      </c>
      <c r="F34" s="350" t="s">
        <v>161</v>
      </c>
      <c r="G34" s="350" t="s">
        <v>2154</v>
      </c>
      <c r="H34" s="351" t="s">
        <v>2294</v>
      </c>
      <c r="I34" s="397">
        <v>63019</v>
      </c>
      <c r="J34" s="397">
        <v>0</v>
      </c>
      <c r="K34" s="397">
        <v>0</v>
      </c>
      <c r="L34" s="397">
        <v>0</v>
      </c>
      <c r="M34" s="397">
        <v>0</v>
      </c>
      <c r="N34" s="398" t="s">
        <v>1786</v>
      </c>
      <c r="O34" s="352">
        <f t="shared" si="5"/>
        <v>63019</v>
      </c>
    </row>
    <row r="35" spans="1:15" s="353" customFormat="1" ht="168.75" x14ac:dyDescent="0.2">
      <c r="A35" s="346">
        <v>17</v>
      </c>
      <c r="B35" s="347" t="s">
        <v>2166</v>
      </c>
      <c r="C35" s="396" t="s">
        <v>2167</v>
      </c>
      <c r="D35" s="396" t="s">
        <v>2168</v>
      </c>
      <c r="E35" s="350" t="s">
        <v>1790</v>
      </c>
      <c r="F35" s="350" t="s">
        <v>161</v>
      </c>
      <c r="G35" s="350" t="s">
        <v>930</v>
      </c>
      <c r="H35" s="351" t="s">
        <v>2295</v>
      </c>
      <c r="I35" s="397">
        <v>277835</v>
      </c>
      <c r="J35" s="397">
        <v>0</v>
      </c>
      <c r="K35" s="397">
        <v>0</v>
      </c>
      <c r="L35" s="397">
        <v>0</v>
      </c>
      <c r="M35" s="397">
        <v>0</v>
      </c>
      <c r="N35" s="398" t="s">
        <v>1786</v>
      </c>
      <c r="O35" s="352">
        <f t="shared" si="5"/>
        <v>277835</v>
      </c>
    </row>
    <row r="36" spans="1:15" s="353" customFormat="1" ht="112.5" x14ac:dyDescent="0.2">
      <c r="A36" s="346">
        <v>18</v>
      </c>
      <c r="B36" s="347" t="s">
        <v>2225</v>
      </c>
      <c r="C36" s="396" t="s">
        <v>2226</v>
      </c>
      <c r="D36" s="396" t="s">
        <v>2227</v>
      </c>
      <c r="E36" s="350" t="s">
        <v>957</v>
      </c>
      <c r="F36" s="350" t="s">
        <v>1693</v>
      </c>
      <c r="G36" s="350" t="s">
        <v>1198</v>
      </c>
      <c r="H36" s="351" t="s">
        <v>2287</v>
      </c>
      <c r="I36" s="397">
        <v>36762</v>
      </c>
      <c r="J36" s="397">
        <v>0</v>
      </c>
      <c r="K36" s="397">
        <v>0</v>
      </c>
      <c r="L36" s="397">
        <v>0</v>
      </c>
      <c r="M36" s="397">
        <v>0</v>
      </c>
      <c r="N36" s="398" t="s">
        <v>1631</v>
      </c>
      <c r="O36" s="352">
        <f t="shared" si="5"/>
        <v>36762</v>
      </c>
    </row>
    <row r="37" spans="1:15" s="353" customFormat="1" ht="131.25" x14ac:dyDescent="0.2">
      <c r="A37" s="346">
        <v>19</v>
      </c>
      <c r="B37" s="347" t="s">
        <v>2243</v>
      </c>
      <c r="C37" s="396" t="s">
        <v>2244</v>
      </c>
      <c r="D37" s="396" t="s">
        <v>2245</v>
      </c>
      <c r="E37" s="350" t="s">
        <v>1688</v>
      </c>
      <c r="F37" s="350" t="s">
        <v>161</v>
      </c>
      <c r="G37" s="350" t="s">
        <v>1689</v>
      </c>
      <c r="H37" s="351" t="s">
        <v>2296</v>
      </c>
      <c r="I37" s="397">
        <v>144000</v>
      </c>
      <c r="J37" s="397">
        <v>0</v>
      </c>
      <c r="K37" s="397">
        <v>0</v>
      </c>
      <c r="L37" s="397">
        <v>0</v>
      </c>
      <c r="M37" s="397">
        <v>0</v>
      </c>
      <c r="N37" s="398" t="s">
        <v>1748</v>
      </c>
      <c r="O37" s="352">
        <f t="shared" si="5"/>
        <v>144000</v>
      </c>
    </row>
    <row r="38" spans="1:15" s="353" customFormat="1" ht="112.5" x14ac:dyDescent="0.2">
      <c r="A38" s="346">
        <v>20</v>
      </c>
      <c r="B38" s="347" t="s">
        <v>2270</v>
      </c>
      <c r="C38" s="396" t="s">
        <v>2297</v>
      </c>
      <c r="D38" s="396" t="s">
        <v>2298</v>
      </c>
      <c r="E38" s="350" t="s">
        <v>2165</v>
      </c>
      <c r="F38" s="350" t="s">
        <v>161</v>
      </c>
      <c r="G38" s="350" t="s">
        <v>1198</v>
      </c>
      <c r="H38" s="351" t="s">
        <v>2299</v>
      </c>
      <c r="I38" s="397">
        <v>128250</v>
      </c>
      <c r="J38" s="397">
        <v>6412.5</v>
      </c>
      <c r="K38" s="397">
        <v>6412.5</v>
      </c>
      <c r="L38" s="397">
        <v>0</v>
      </c>
      <c r="M38" s="397">
        <v>0</v>
      </c>
      <c r="N38" s="398">
        <v>0</v>
      </c>
      <c r="O38" s="352">
        <f t="shared" si="5"/>
        <v>115425</v>
      </c>
    </row>
    <row r="39" spans="1:15" s="353" customFormat="1" ht="93.75" x14ac:dyDescent="0.2">
      <c r="A39" s="346">
        <v>21</v>
      </c>
      <c r="B39" s="347" t="s">
        <v>2270</v>
      </c>
      <c r="C39" s="396" t="s">
        <v>2300</v>
      </c>
      <c r="D39" s="396" t="s">
        <v>2301</v>
      </c>
      <c r="E39" s="350" t="s">
        <v>914</v>
      </c>
      <c r="F39" s="350" t="s">
        <v>161</v>
      </c>
      <c r="G39" s="350" t="s">
        <v>2302</v>
      </c>
      <c r="H39" s="351" t="s">
        <v>2303</v>
      </c>
      <c r="I39" s="397">
        <v>19000</v>
      </c>
      <c r="J39" s="397">
        <v>950</v>
      </c>
      <c r="K39" s="397">
        <v>950</v>
      </c>
      <c r="L39" s="397">
        <v>0</v>
      </c>
      <c r="M39" s="397">
        <v>0</v>
      </c>
      <c r="N39" s="398">
        <v>0</v>
      </c>
      <c r="O39" s="352">
        <f t="shared" si="5"/>
        <v>17100</v>
      </c>
    </row>
    <row r="40" spans="1:15" s="395" customFormat="1" x14ac:dyDescent="0.2">
      <c r="A40" s="388" t="s">
        <v>512</v>
      </c>
      <c r="B40" s="389"/>
      <c r="C40" s="390"/>
      <c r="D40" s="390"/>
      <c r="E40" s="391"/>
      <c r="F40" s="391"/>
      <c r="G40" s="391"/>
      <c r="H40" s="392"/>
      <c r="I40" s="393">
        <f>SUM(I41:I44)</f>
        <v>5051998</v>
      </c>
      <c r="J40" s="393">
        <f t="shared" ref="J40:O40" si="6">SUM(J41:J44)</f>
        <v>4500</v>
      </c>
      <c r="K40" s="393">
        <f t="shared" si="6"/>
        <v>4500</v>
      </c>
      <c r="L40" s="393">
        <f t="shared" si="6"/>
        <v>180999</v>
      </c>
      <c r="M40" s="393">
        <f t="shared" si="6"/>
        <v>180999</v>
      </c>
      <c r="N40" s="393">
        <f t="shared" si="6"/>
        <v>0</v>
      </c>
      <c r="O40" s="394">
        <f t="shared" si="6"/>
        <v>4681000</v>
      </c>
    </row>
    <row r="41" spans="1:15" s="353" customFormat="1" ht="131.25" x14ac:dyDescent="0.2">
      <c r="A41" s="346">
        <v>1</v>
      </c>
      <c r="B41" s="347" t="s">
        <v>2045</v>
      </c>
      <c r="C41" s="396" t="s">
        <v>2046</v>
      </c>
      <c r="D41" s="396" t="s">
        <v>2047</v>
      </c>
      <c r="E41" s="350" t="s">
        <v>1268</v>
      </c>
      <c r="F41" s="350" t="s">
        <v>512</v>
      </c>
      <c r="G41" s="350" t="s">
        <v>1269</v>
      </c>
      <c r="H41" s="351" t="s">
        <v>2304</v>
      </c>
      <c r="I41" s="397">
        <f>39447+22551</f>
        <v>61998</v>
      </c>
      <c r="J41" s="397">
        <v>0</v>
      </c>
      <c r="K41" s="397">
        <v>0</v>
      </c>
      <c r="L41" s="397">
        <v>30999</v>
      </c>
      <c r="M41" s="397">
        <v>30999</v>
      </c>
      <c r="N41" s="397"/>
      <c r="O41" s="352">
        <f>+I41-(J41+K41+L41+M41+N41)</f>
        <v>0</v>
      </c>
    </row>
    <row r="42" spans="1:15" s="353" customFormat="1" ht="112.5" x14ac:dyDescent="0.2">
      <c r="A42" s="346">
        <v>2</v>
      </c>
      <c r="B42" s="347" t="s">
        <v>2048</v>
      </c>
      <c r="C42" s="396" t="s">
        <v>2049</v>
      </c>
      <c r="D42" s="396" t="s">
        <v>2050</v>
      </c>
      <c r="E42" s="350" t="s">
        <v>1268</v>
      </c>
      <c r="F42" s="350" t="s">
        <v>156</v>
      </c>
      <c r="G42" s="350" t="s">
        <v>2041</v>
      </c>
      <c r="H42" s="351" t="s">
        <v>2305</v>
      </c>
      <c r="I42" s="397">
        <f>14940+60+69890+110</f>
        <v>85000</v>
      </c>
      <c r="J42" s="397">
        <v>4250</v>
      </c>
      <c r="K42" s="397">
        <v>4250</v>
      </c>
      <c r="L42" s="397">
        <v>0</v>
      </c>
      <c r="M42" s="397">
        <v>0</v>
      </c>
      <c r="N42" s="398"/>
      <c r="O42" s="352">
        <f>+I42-(J42+K42+L42+M42)</f>
        <v>76500</v>
      </c>
    </row>
    <row r="43" spans="1:15" s="353" customFormat="1" ht="112.5" x14ac:dyDescent="0.2">
      <c r="A43" s="346">
        <v>3</v>
      </c>
      <c r="B43" s="347" t="s">
        <v>2169</v>
      </c>
      <c r="C43" s="396" t="s">
        <v>2170</v>
      </c>
      <c r="D43" s="396" t="s">
        <v>2171</v>
      </c>
      <c r="E43" s="350" t="s">
        <v>1268</v>
      </c>
      <c r="F43" s="350" t="s">
        <v>156</v>
      </c>
      <c r="G43" s="350" t="s">
        <v>2041</v>
      </c>
      <c r="H43" s="351" t="s">
        <v>2306</v>
      </c>
      <c r="I43" s="397">
        <v>5000</v>
      </c>
      <c r="J43" s="397">
        <v>250</v>
      </c>
      <c r="K43" s="397">
        <v>250</v>
      </c>
      <c r="L43" s="397">
        <v>0</v>
      </c>
      <c r="M43" s="397">
        <v>0</v>
      </c>
      <c r="N43" s="398"/>
      <c r="O43" s="352">
        <f>+I43-(J43+K43+L43+M43)</f>
        <v>4500</v>
      </c>
    </row>
    <row r="44" spans="1:15" s="353" customFormat="1" ht="112.5" x14ac:dyDescent="0.2">
      <c r="A44" s="346">
        <v>4</v>
      </c>
      <c r="B44" s="347" t="s">
        <v>2307</v>
      </c>
      <c r="C44" s="396" t="s">
        <v>2308</v>
      </c>
      <c r="D44" s="396" t="s">
        <v>2309</v>
      </c>
      <c r="E44" s="350" t="s">
        <v>1268</v>
      </c>
      <c r="F44" s="350" t="s">
        <v>156</v>
      </c>
      <c r="G44" s="350" t="s">
        <v>2310</v>
      </c>
      <c r="H44" s="351" t="s">
        <v>2311</v>
      </c>
      <c r="I44" s="397">
        <v>4900000</v>
      </c>
      <c r="J44" s="397">
        <v>0</v>
      </c>
      <c r="K44" s="397">
        <v>0</v>
      </c>
      <c r="L44" s="397">
        <v>150000</v>
      </c>
      <c r="M44" s="397">
        <v>150000</v>
      </c>
      <c r="N44" s="398"/>
      <c r="O44" s="352">
        <f>+I44-(J44+K44+L44+M44)</f>
        <v>4600000</v>
      </c>
    </row>
    <row r="45" spans="1:15" s="395" customFormat="1" x14ac:dyDescent="0.2">
      <c r="A45" s="388" t="s">
        <v>22</v>
      </c>
      <c r="B45" s="389"/>
      <c r="C45" s="390"/>
      <c r="D45" s="390"/>
      <c r="E45" s="391"/>
      <c r="F45" s="391"/>
      <c r="G45" s="391"/>
      <c r="H45" s="392"/>
      <c r="I45" s="393">
        <f>SUM(I46:I73)</f>
        <v>7753609</v>
      </c>
      <c r="J45" s="393">
        <f t="shared" ref="J45:O45" si="7">SUM(J46:J73)</f>
        <v>75942.5</v>
      </c>
      <c r="K45" s="393">
        <f t="shared" si="7"/>
        <v>75942.5</v>
      </c>
      <c r="L45" s="393">
        <f t="shared" si="7"/>
        <v>26227.5</v>
      </c>
      <c r="M45" s="393">
        <f t="shared" si="7"/>
        <v>26227.5</v>
      </c>
      <c r="N45" s="393">
        <f t="shared" si="7"/>
        <v>0</v>
      </c>
      <c r="O45" s="394">
        <f t="shared" si="7"/>
        <v>7549269</v>
      </c>
    </row>
    <row r="46" spans="1:15" s="353" customFormat="1" ht="75" x14ac:dyDescent="0.2">
      <c r="A46" s="346">
        <v>1</v>
      </c>
      <c r="B46" s="347" t="s">
        <v>2051</v>
      </c>
      <c r="C46" s="396" t="s">
        <v>2052</v>
      </c>
      <c r="D46" s="396" t="s">
        <v>2053</v>
      </c>
      <c r="E46" s="350" t="s">
        <v>451</v>
      </c>
      <c r="F46" s="350" t="s">
        <v>22</v>
      </c>
      <c r="G46" s="350" t="s">
        <v>1859</v>
      </c>
      <c r="H46" s="351" t="s">
        <v>2312</v>
      </c>
      <c r="I46" s="397">
        <f>40500+40500</f>
        <v>81000</v>
      </c>
      <c r="J46" s="397">
        <v>6480</v>
      </c>
      <c r="K46" s="397">
        <v>6480</v>
      </c>
      <c r="L46" s="397">
        <v>0</v>
      </c>
      <c r="M46" s="397">
        <v>0</v>
      </c>
      <c r="N46" s="397"/>
      <c r="O46" s="352">
        <f>+I46-(J46+K46+L46+M46+N46)</f>
        <v>68040</v>
      </c>
    </row>
    <row r="47" spans="1:15" s="353" customFormat="1" ht="168.75" x14ac:dyDescent="0.2">
      <c r="A47" s="346">
        <v>2</v>
      </c>
      <c r="B47" s="347" t="s">
        <v>2054</v>
      </c>
      <c r="C47" s="396" t="s">
        <v>2055</v>
      </c>
      <c r="D47" s="396" t="s">
        <v>2056</v>
      </c>
      <c r="E47" s="350" t="s">
        <v>1180</v>
      </c>
      <c r="F47" s="350" t="s">
        <v>22</v>
      </c>
      <c r="G47" s="350" t="s">
        <v>1729</v>
      </c>
      <c r="H47" s="351" t="s">
        <v>2313</v>
      </c>
      <c r="I47" s="397">
        <v>20000</v>
      </c>
      <c r="J47" s="397">
        <v>1600</v>
      </c>
      <c r="K47" s="397">
        <v>1600</v>
      </c>
      <c r="L47" s="397"/>
      <c r="M47" s="397"/>
      <c r="N47" s="397"/>
      <c r="O47" s="352">
        <f>+I47-(J47+K47+L47+M47+N47)</f>
        <v>16800</v>
      </c>
    </row>
    <row r="48" spans="1:15" s="353" customFormat="1" ht="225" x14ac:dyDescent="0.2">
      <c r="A48" s="346">
        <v>3</v>
      </c>
      <c r="B48" s="347" t="s">
        <v>2057</v>
      </c>
      <c r="C48" s="396" t="s">
        <v>2058</v>
      </c>
      <c r="D48" s="396" t="s">
        <v>2059</v>
      </c>
      <c r="E48" s="350" t="s">
        <v>1884</v>
      </c>
      <c r="F48" s="350" t="s">
        <v>22</v>
      </c>
      <c r="G48" s="350" t="s">
        <v>930</v>
      </c>
      <c r="H48" s="351" t="s">
        <v>2314</v>
      </c>
      <c r="I48" s="397">
        <v>392860</v>
      </c>
      <c r="J48" s="397">
        <v>0</v>
      </c>
      <c r="K48" s="397">
        <v>0</v>
      </c>
      <c r="L48" s="397">
        <v>0</v>
      </c>
      <c r="M48" s="397">
        <v>0</v>
      </c>
      <c r="N48" s="398" t="s">
        <v>1786</v>
      </c>
      <c r="O48" s="352">
        <f t="shared" ref="O48:O73" si="8">+I48-(J48+K48+L48+M48)</f>
        <v>392860</v>
      </c>
    </row>
    <row r="49" spans="1:15" s="353" customFormat="1" ht="187.5" x14ac:dyDescent="0.2">
      <c r="A49" s="346">
        <v>4</v>
      </c>
      <c r="B49" s="347" t="s">
        <v>2057</v>
      </c>
      <c r="C49" s="396" t="s">
        <v>2058</v>
      </c>
      <c r="D49" s="396" t="s">
        <v>2059</v>
      </c>
      <c r="E49" s="350" t="s">
        <v>1884</v>
      </c>
      <c r="F49" s="350" t="s">
        <v>22</v>
      </c>
      <c r="G49" s="350" t="s">
        <v>930</v>
      </c>
      <c r="H49" s="351" t="s">
        <v>2315</v>
      </c>
      <c r="I49" s="397">
        <v>681435</v>
      </c>
      <c r="J49" s="397">
        <v>0</v>
      </c>
      <c r="K49" s="397">
        <v>0</v>
      </c>
      <c r="L49" s="397">
        <v>0</v>
      </c>
      <c r="M49" s="397">
        <v>0</v>
      </c>
      <c r="N49" s="398" t="s">
        <v>1786</v>
      </c>
      <c r="O49" s="352">
        <f t="shared" si="8"/>
        <v>681435</v>
      </c>
    </row>
    <row r="50" spans="1:15" s="353" customFormat="1" ht="225" x14ac:dyDescent="0.2">
      <c r="A50" s="346">
        <v>5</v>
      </c>
      <c r="B50" s="347" t="s">
        <v>2035</v>
      </c>
      <c r="C50" s="396" t="s">
        <v>2060</v>
      </c>
      <c r="D50" s="396" t="s">
        <v>2061</v>
      </c>
      <c r="E50" s="350" t="s">
        <v>2062</v>
      </c>
      <c r="F50" s="350" t="s">
        <v>22</v>
      </c>
      <c r="G50" s="350" t="s">
        <v>2063</v>
      </c>
      <c r="H50" s="351" t="s">
        <v>2316</v>
      </c>
      <c r="I50" s="397">
        <v>40000</v>
      </c>
      <c r="J50" s="397">
        <v>0</v>
      </c>
      <c r="K50" s="397">
        <v>0</v>
      </c>
      <c r="L50" s="397">
        <v>0</v>
      </c>
      <c r="M50" s="397">
        <v>0</v>
      </c>
      <c r="N50" s="398" t="s">
        <v>1893</v>
      </c>
      <c r="O50" s="352">
        <f t="shared" si="8"/>
        <v>40000</v>
      </c>
    </row>
    <row r="51" spans="1:15" s="353" customFormat="1" ht="150" x14ac:dyDescent="0.2">
      <c r="A51" s="346">
        <v>6</v>
      </c>
      <c r="B51" s="347" t="s">
        <v>2064</v>
      </c>
      <c r="C51" s="396" t="s">
        <v>2065</v>
      </c>
      <c r="D51" s="396" t="s">
        <v>2066</v>
      </c>
      <c r="E51" s="350" t="s">
        <v>1226</v>
      </c>
      <c r="F51" s="350" t="s">
        <v>22</v>
      </c>
      <c r="G51" s="350" t="s">
        <v>1079</v>
      </c>
      <c r="H51" s="351" t="s">
        <v>2317</v>
      </c>
      <c r="I51" s="397">
        <v>240000</v>
      </c>
      <c r="J51" s="397">
        <v>0</v>
      </c>
      <c r="K51" s="397">
        <v>0</v>
      </c>
      <c r="L51" s="397">
        <v>0</v>
      </c>
      <c r="M51" s="397">
        <v>0</v>
      </c>
      <c r="N51" s="398" t="s">
        <v>1893</v>
      </c>
      <c r="O51" s="352">
        <f t="shared" si="8"/>
        <v>240000</v>
      </c>
    </row>
    <row r="52" spans="1:15" s="353" customFormat="1" ht="112.5" x14ac:dyDescent="0.2">
      <c r="A52" s="346">
        <v>7</v>
      </c>
      <c r="B52" s="347" t="s">
        <v>2019</v>
      </c>
      <c r="C52" s="396" t="s">
        <v>2020</v>
      </c>
      <c r="D52" s="396" t="s">
        <v>2021</v>
      </c>
      <c r="E52" s="350" t="s">
        <v>1894</v>
      </c>
      <c r="F52" s="350" t="s">
        <v>22</v>
      </c>
      <c r="G52" s="350" t="s">
        <v>1763</v>
      </c>
      <c r="H52" s="351" t="s">
        <v>2318</v>
      </c>
      <c r="I52" s="397">
        <v>732320</v>
      </c>
      <c r="J52" s="397">
        <v>0</v>
      </c>
      <c r="K52" s="397">
        <v>0</v>
      </c>
      <c r="L52" s="397">
        <v>0</v>
      </c>
      <c r="M52" s="397">
        <v>0</v>
      </c>
      <c r="N52" s="398" t="s">
        <v>1786</v>
      </c>
      <c r="O52" s="352">
        <f t="shared" si="8"/>
        <v>732320</v>
      </c>
    </row>
    <row r="53" spans="1:15" s="353" customFormat="1" ht="131.25" x14ac:dyDescent="0.2">
      <c r="A53" s="346">
        <v>8</v>
      </c>
      <c r="B53" s="347" t="s">
        <v>2042</v>
      </c>
      <c r="C53" s="396" t="s">
        <v>2067</v>
      </c>
      <c r="D53" s="396" t="s">
        <v>2068</v>
      </c>
      <c r="E53" s="350" t="s">
        <v>1880</v>
      </c>
      <c r="F53" s="350" t="s">
        <v>22</v>
      </c>
      <c r="G53" s="350" t="s">
        <v>1198</v>
      </c>
      <c r="H53" s="351" t="s">
        <v>2319</v>
      </c>
      <c r="I53" s="397">
        <v>266000</v>
      </c>
      <c r="J53" s="397">
        <v>0</v>
      </c>
      <c r="K53" s="397">
        <v>0</v>
      </c>
      <c r="L53" s="397">
        <v>11550</v>
      </c>
      <c r="M53" s="397">
        <v>11550</v>
      </c>
      <c r="N53" s="398"/>
      <c r="O53" s="352">
        <f t="shared" si="8"/>
        <v>242900</v>
      </c>
    </row>
    <row r="54" spans="1:15" s="353" customFormat="1" ht="131.25" x14ac:dyDescent="0.2">
      <c r="A54" s="346">
        <v>9</v>
      </c>
      <c r="B54" s="347" t="s">
        <v>2127</v>
      </c>
      <c r="C54" s="396" t="s">
        <v>2130</v>
      </c>
      <c r="D54" s="396" t="s">
        <v>2131</v>
      </c>
      <c r="E54" s="350" t="s">
        <v>1180</v>
      </c>
      <c r="F54" s="350" t="s">
        <v>22</v>
      </c>
      <c r="G54" s="350" t="s">
        <v>1264</v>
      </c>
      <c r="H54" s="351" t="s">
        <v>2320</v>
      </c>
      <c r="I54" s="397">
        <v>30000</v>
      </c>
      <c r="J54" s="397">
        <v>1500</v>
      </c>
      <c r="K54" s="397">
        <v>1500</v>
      </c>
      <c r="L54" s="397">
        <v>0</v>
      </c>
      <c r="M54" s="397">
        <v>0</v>
      </c>
      <c r="N54" s="398"/>
      <c r="O54" s="352">
        <f t="shared" si="8"/>
        <v>27000</v>
      </c>
    </row>
    <row r="55" spans="1:15" s="353" customFormat="1" ht="131.25" x14ac:dyDescent="0.2">
      <c r="A55" s="346">
        <v>10</v>
      </c>
      <c r="B55" s="347" t="s">
        <v>2127</v>
      </c>
      <c r="C55" s="396" t="s">
        <v>2132</v>
      </c>
      <c r="D55" s="396" t="s">
        <v>2131</v>
      </c>
      <c r="E55" s="350" t="s">
        <v>1180</v>
      </c>
      <c r="F55" s="350" t="s">
        <v>22</v>
      </c>
      <c r="G55" s="350" t="s">
        <v>1264</v>
      </c>
      <c r="H55" s="351" t="s">
        <v>2321</v>
      </c>
      <c r="I55" s="397">
        <v>30000</v>
      </c>
      <c r="J55" s="397">
        <v>1500</v>
      </c>
      <c r="K55" s="397">
        <v>1500</v>
      </c>
      <c r="L55" s="397">
        <v>0</v>
      </c>
      <c r="M55" s="397">
        <v>0</v>
      </c>
      <c r="N55" s="398"/>
      <c r="O55" s="352">
        <f t="shared" si="8"/>
        <v>27000</v>
      </c>
    </row>
    <row r="56" spans="1:15" s="353" customFormat="1" ht="93.75" x14ac:dyDescent="0.2">
      <c r="A56" s="346">
        <v>11</v>
      </c>
      <c r="B56" s="347" t="s">
        <v>2127</v>
      </c>
      <c r="C56" s="396" t="s">
        <v>2133</v>
      </c>
      <c r="D56" s="396" t="s">
        <v>2134</v>
      </c>
      <c r="E56" s="350" t="s">
        <v>2135</v>
      </c>
      <c r="F56" s="350" t="s">
        <v>22</v>
      </c>
      <c r="G56" s="350" t="s">
        <v>1198</v>
      </c>
      <c r="H56" s="351" t="s">
        <v>2322</v>
      </c>
      <c r="I56" s="397">
        <v>128250</v>
      </c>
      <c r="J56" s="397">
        <v>0</v>
      </c>
      <c r="K56" s="397">
        <v>0</v>
      </c>
      <c r="L56" s="397">
        <v>6412.5</v>
      </c>
      <c r="M56" s="397">
        <v>6412.5</v>
      </c>
      <c r="N56" s="398"/>
      <c r="O56" s="352">
        <f t="shared" si="8"/>
        <v>115425</v>
      </c>
    </row>
    <row r="57" spans="1:15" s="353" customFormat="1" ht="112.5" x14ac:dyDescent="0.2">
      <c r="A57" s="346">
        <v>12</v>
      </c>
      <c r="B57" s="347" t="s">
        <v>2139</v>
      </c>
      <c r="C57" s="396" t="s">
        <v>2140</v>
      </c>
      <c r="D57" s="396" t="s">
        <v>2141</v>
      </c>
      <c r="E57" s="350" t="s">
        <v>2142</v>
      </c>
      <c r="F57" s="350" t="s">
        <v>22</v>
      </c>
      <c r="G57" s="350" t="s">
        <v>1198</v>
      </c>
      <c r="H57" s="351" t="s">
        <v>2323</v>
      </c>
      <c r="I57" s="397">
        <v>165300</v>
      </c>
      <c r="J57" s="397">
        <v>0</v>
      </c>
      <c r="K57" s="397">
        <v>0</v>
      </c>
      <c r="L57" s="397">
        <v>8265</v>
      </c>
      <c r="M57" s="397">
        <v>8265</v>
      </c>
      <c r="N57" s="398"/>
      <c r="O57" s="352">
        <f t="shared" si="8"/>
        <v>148770</v>
      </c>
    </row>
    <row r="58" spans="1:15" s="353" customFormat="1" ht="112.5" x14ac:dyDescent="0.2">
      <c r="A58" s="346">
        <v>13</v>
      </c>
      <c r="B58" s="347" t="s">
        <v>2159</v>
      </c>
      <c r="C58" s="396" t="s">
        <v>2172</v>
      </c>
      <c r="D58" s="396" t="s">
        <v>2173</v>
      </c>
      <c r="E58" s="350" t="s">
        <v>2174</v>
      </c>
      <c r="F58" s="350" t="s">
        <v>22</v>
      </c>
      <c r="G58" s="350" t="s">
        <v>1198</v>
      </c>
      <c r="H58" s="351" t="s">
        <v>2324</v>
      </c>
      <c r="I58" s="397">
        <v>71250</v>
      </c>
      <c r="J58" s="397">
        <v>0</v>
      </c>
      <c r="K58" s="397">
        <v>0</v>
      </c>
      <c r="L58" s="397">
        <v>0</v>
      </c>
      <c r="M58" s="397">
        <v>0</v>
      </c>
      <c r="N58" s="398" t="s">
        <v>2325</v>
      </c>
      <c r="O58" s="352">
        <f t="shared" si="8"/>
        <v>71250</v>
      </c>
    </row>
    <row r="59" spans="1:15" s="353" customFormat="1" ht="93.75" x14ac:dyDescent="0.2">
      <c r="A59" s="346">
        <v>14</v>
      </c>
      <c r="B59" s="347" t="s">
        <v>2159</v>
      </c>
      <c r="C59" s="396" t="s">
        <v>2175</v>
      </c>
      <c r="D59" s="396" t="s">
        <v>2176</v>
      </c>
      <c r="E59" s="350" t="s">
        <v>2177</v>
      </c>
      <c r="F59" s="350" t="s">
        <v>22</v>
      </c>
      <c r="G59" s="350" t="s">
        <v>1198</v>
      </c>
      <c r="H59" s="351" t="s">
        <v>2326</v>
      </c>
      <c r="I59" s="397">
        <v>128250</v>
      </c>
      <c r="J59" s="397">
        <v>6412.5</v>
      </c>
      <c r="K59" s="397">
        <v>6412.5</v>
      </c>
      <c r="L59" s="397">
        <v>0</v>
      </c>
      <c r="M59" s="397">
        <v>0</v>
      </c>
      <c r="N59" s="398"/>
      <c r="O59" s="352">
        <f t="shared" si="8"/>
        <v>115425</v>
      </c>
    </row>
    <row r="60" spans="1:15" s="353" customFormat="1" ht="300" x14ac:dyDescent="0.2">
      <c r="A60" s="346">
        <v>15</v>
      </c>
      <c r="B60" s="347" t="s">
        <v>2178</v>
      </c>
      <c r="C60" s="396" t="s">
        <v>2179</v>
      </c>
      <c r="D60" s="396" t="s">
        <v>2180</v>
      </c>
      <c r="E60" s="350" t="s">
        <v>2181</v>
      </c>
      <c r="F60" s="350" t="s">
        <v>22</v>
      </c>
      <c r="G60" s="350" t="s">
        <v>1198</v>
      </c>
      <c r="H60" s="351" t="s">
        <v>2327</v>
      </c>
      <c r="I60" s="397">
        <v>300000</v>
      </c>
      <c r="J60" s="397">
        <v>0</v>
      </c>
      <c r="K60" s="397">
        <v>0</v>
      </c>
      <c r="L60" s="397">
        <v>0</v>
      </c>
      <c r="M60" s="397">
        <v>0</v>
      </c>
      <c r="N60" s="398" t="s">
        <v>2182</v>
      </c>
      <c r="O60" s="352">
        <f t="shared" si="8"/>
        <v>300000</v>
      </c>
    </row>
    <row r="61" spans="1:15" s="353" customFormat="1" ht="262.5" x14ac:dyDescent="0.2">
      <c r="A61" s="346">
        <v>16</v>
      </c>
      <c r="B61" s="347" t="s">
        <v>2178</v>
      </c>
      <c r="C61" s="396" t="s">
        <v>2179</v>
      </c>
      <c r="D61" s="396" t="s">
        <v>2180</v>
      </c>
      <c r="E61" s="350" t="s">
        <v>2183</v>
      </c>
      <c r="F61" s="350" t="s">
        <v>22</v>
      </c>
      <c r="G61" s="350" t="s">
        <v>1198</v>
      </c>
      <c r="H61" s="351" t="s">
        <v>2328</v>
      </c>
      <c r="I61" s="397">
        <v>295200</v>
      </c>
      <c r="J61" s="397">
        <v>0</v>
      </c>
      <c r="K61" s="397">
        <v>0</v>
      </c>
      <c r="L61" s="397">
        <v>0</v>
      </c>
      <c r="M61" s="397">
        <v>0</v>
      </c>
      <c r="N61" s="398" t="s">
        <v>2182</v>
      </c>
      <c r="O61" s="352">
        <f t="shared" si="8"/>
        <v>295200</v>
      </c>
    </row>
    <row r="62" spans="1:15" s="353" customFormat="1" ht="150" x14ac:dyDescent="0.2">
      <c r="A62" s="346">
        <v>17</v>
      </c>
      <c r="B62" s="347" t="s">
        <v>2184</v>
      </c>
      <c r="C62" s="396" t="s">
        <v>2185</v>
      </c>
      <c r="D62" s="396" t="s">
        <v>2186</v>
      </c>
      <c r="E62" s="350" t="s">
        <v>451</v>
      </c>
      <c r="F62" s="350" t="s">
        <v>22</v>
      </c>
      <c r="G62" s="350" t="s">
        <v>2154</v>
      </c>
      <c r="H62" s="351" t="s">
        <v>2329</v>
      </c>
      <c r="I62" s="397">
        <v>428000</v>
      </c>
      <c r="J62" s="397">
        <v>0</v>
      </c>
      <c r="K62" s="397">
        <v>0</v>
      </c>
      <c r="L62" s="397">
        <v>0</v>
      </c>
      <c r="M62" s="397">
        <v>0</v>
      </c>
      <c r="N62" s="398" t="s">
        <v>1786</v>
      </c>
      <c r="O62" s="352">
        <f t="shared" si="8"/>
        <v>428000</v>
      </c>
    </row>
    <row r="63" spans="1:15" s="353" customFormat="1" ht="131.25" x14ac:dyDescent="0.2">
      <c r="A63" s="346">
        <v>18</v>
      </c>
      <c r="B63" s="347" t="s">
        <v>2187</v>
      </c>
      <c r="C63" s="396" t="s">
        <v>2188</v>
      </c>
      <c r="D63" s="396" t="s">
        <v>2189</v>
      </c>
      <c r="E63" s="350" t="s">
        <v>451</v>
      </c>
      <c r="F63" s="350" t="s">
        <v>22</v>
      </c>
      <c r="G63" s="350" t="s">
        <v>1162</v>
      </c>
      <c r="H63" s="351" t="s">
        <v>2330</v>
      </c>
      <c r="I63" s="397">
        <v>19950</v>
      </c>
      <c r="J63" s="397">
        <v>0</v>
      </c>
      <c r="K63" s="397">
        <v>0</v>
      </c>
      <c r="L63" s="397">
        <v>0</v>
      </c>
      <c r="M63" s="397">
        <v>0</v>
      </c>
      <c r="N63" s="398" t="s">
        <v>1911</v>
      </c>
      <c r="O63" s="352">
        <f t="shared" si="8"/>
        <v>19950</v>
      </c>
    </row>
    <row r="64" spans="1:15" s="353" customFormat="1" ht="150" x14ac:dyDescent="0.2">
      <c r="A64" s="346">
        <v>19</v>
      </c>
      <c r="B64" s="347" t="s">
        <v>2151</v>
      </c>
      <c r="C64" s="396" t="s">
        <v>2152</v>
      </c>
      <c r="D64" s="396" t="s">
        <v>2153</v>
      </c>
      <c r="E64" s="350" t="s">
        <v>1894</v>
      </c>
      <c r="F64" s="350" t="s">
        <v>22</v>
      </c>
      <c r="G64" s="350" t="s">
        <v>2154</v>
      </c>
      <c r="H64" s="351" t="s">
        <v>2331</v>
      </c>
      <c r="I64" s="397">
        <v>1681994</v>
      </c>
      <c r="J64" s="397">
        <v>0</v>
      </c>
      <c r="K64" s="397">
        <v>0</v>
      </c>
      <c r="L64" s="397">
        <v>0</v>
      </c>
      <c r="M64" s="397">
        <v>0</v>
      </c>
      <c r="N64" s="398" t="s">
        <v>1786</v>
      </c>
      <c r="O64" s="352">
        <f t="shared" si="8"/>
        <v>1681994</v>
      </c>
    </row>
    <row r="65" spans="1:15" s="353" customFormat="1" ht="168.75" x14ac:dyDescent="0.2">
      <c r="A65" s="346">
        <v>20</v>
      </c>
      <c r="B65" s="347" t="s">
        <v>2151</v>
      </c>
      <c r="C65" s="396" t="s">
        <v>2152</v>
      </c>
      <c r="D65" s="396" t="s">
        <v>2153</v>
      </c>
      <c r="E65" s="350" t="s">
        <v>2190</v>
      </c>
      <c r="F65" s="350" t="s">
        <v>22</v>
      </c>
      <c r="G65" s="350" t="s">
        <v>2154</v>
      </c>
      <c r="H65" s="351" t="s">
        <v>2332</v>
      </c>
      <c r="I65" s="397">
        <v>577800</v>
      </c>
      <c r="J65" s="397">
        <v>0</v>
      </c>
      <c r="K65" s="397">
        <v>0</v>
      </c>
      <c r="L65" s="397">
        <v>0</v>
      </c>
      <c r="M65" s="397">
        <v>0</v>
      </c>
      <c r="N65" s="398" t="s">
        <v>1786</v>
      </c>
      <c r="O65" s="352">
        <f t="shared" si="8"/>
        <v>577800</v>
      </c>
    </row>
    <row r="66" spans="1:15" s="353" customFormat="1" ht="93.75" x14ac:dyDescent="0.2">
      <c r="A66" s="346">
        <v>21</v>
      </c>
      <c r="B66" s="347" t="s">
        <v>2228</v>
      </c>
      <c r="C66" s="396" t="s">
        <v>2229</v>
      </c>
      <c r="D66" s="396" t="s">
        <v>2230</v>
      </c>
      <c r="E66" s="350" t="s">
        <v>2231</v>
      </c>
      <c r="F66" s="350" t="s">
        <v>22</v>
      </c>
      <c r="G66" s="350" t="s">
        <v>1897</v>
      </c>
      <c r="H66" s="351" t="s">
        <v>2333</v>
      </c>
      <c r="I66" s="397">
        <f>45000+405000</f>
        <v>450000</v>
      </c>
      <c r="J66" s="397">
        <v>22500</v>
      </c>
      <c r="K66" s="397">
        <v>22500</v>
      </c>
      <c r="L66" s="397">
        <v>0</v>
      </c>
      <c r="M66" s="397">
        <v>0</v>
      </c>
      <c r="N66" s="398"/>
      <c r="O66" s="352">
        <f t="shared" si="8"/>
        <v>405000</v>
      </c>
    </row>
    <row r="67" spans="1:15" s="353" customFormat="1" ht="112.5" x14ac:dyDescent="0.2">
      <c r="A67" s="346">
        <v>22</v>
      </c>
      <c r="B67" s="347" t="s">
        <v>2228</v>
      </c>
      <c r="C67" s="396" t="s">
        <v>2232</v>
      </c>
      <c r="D67" s="396" t="s">
        <v>2233</v>
      </c>
      <c r="E67" s="350" t="s">
        <v>746</v>
      </c>
      <c r="F67" s="350" t="s">
        <v>22</v>
      </c>
      <c r="G67" s="350" t="s">
        <v>1897</v>
      </c>
      <c r="H67" s="351" t="s">
        <v>2334</v>
      </c>
      <c r="I67" s="397">
        <f>405000+45000</f>
        <v>450000</v>
      </c>
      <c r="J67" s="397">
        <v>22500</v>
      </c>
      <c r="K67" s="397">
        <v>22500</v>
      </c>
      <c r="L67" s="397">
        <v>0</v>
      </c>
      <c r="M67" s="397">
        <v>0</v>
      </c>
      <c r="N67" s="398"/>
      <c r="O67" s="352">
        <f t="shared" si="8"/>
        <v>405000</v>
      </c>
    </row>
    <row r="68" spans="1:15" s="353" customFormat="1" ht="131.25" x14ac:dyDescent="0.2">
      <c r="A68" s="346">
        <v>23</v>
      </c>
      <c r="B68" s="347" t="s">
        <v>2225</v>
      </c>
      <c r="C68" s="396" t="s">
        <v>2234</v>
      </c>
      <c r="D68" s="396" t="s">
        <v>2235</v>
      </c>
      <c r="E68" s="350" t="s">
        <v>1880</v>
      </c>
      <c r="F68" s="350" t="s">
        <v>22</v>
      </c>
      <c r="G68" s="350" t="s">
        <v>1198</v>
      </c>
      <c r="H68" s="351" t="s">
        <v>2335</v>
      </c>
      <c r="I68" s="397">
        <v>35000</v>
      </c>
      <c r="J68" s="397">
        <v>0</v>
      </c>
      <c r="K68" s="397">
        <v>0</v>
      </c>
      <c r="L68" s="397">
        <v>0</v>
      </c>
      <c r="M68" s="397">
        <v>0</v>
      </c>
      <c r="N68" s="398" t="s">
        <v>1631</v>
      </c>
      <c r="O68" s="352">
        <f t="shared" si="8"/>
        <v>35000</v>
      </c>
    </row>
    <row r="69" spans="1:15" s="353" customFormat="1" ht="131.25" x14ac:dyDescent="0.2">
      <c r="A69" s="346">
        <v>24</v>
      </c>
      <c r="B69" s="347" t="s">
        <v>2246</v>
      </c>
      <c r="C69" s="396" t="s">
        <v>2247</v>
      </c>
      <c r="D69" s="396" t="s">
        <v>2248</v>
      </c>
      <c r="E69" s="350" t="s">
        <v>451</v>
      </c>
      <c r="F69" s="350" t="s">
        <v>22</v>
      </c>
      <c r="G69" s="350" t="s">
        <v>2249</v>
      </c>
      <c r="H69" s="351" t="s">
        <v>2336</v>
      </c>
      <c r="I69" s="397">
        <v>64000</v>
      </c>
      <c r="J69" s="397">
        <v>3200</v>
      </c>
      <c r="K69" s="397">
        <v>3200</v>
      </c>
      <c r="L69" s="397">
        <v>0</v>
      </c>
      <c r="M69" s="397">
        <v>0</v>
      </c>
      <c r="N69" s="398"/>
      <c r="O69" s="352">
        <f t="shared" si="8"/>
        <v>57600</v>
      </c>
    </row>
    <row r="70" spans="1:15" s="353" customFormat="1" ht="168.75" x14ac:dyDescent="0.2">
      <c r="A70" s="346">
        <v>25</v>
      </c>
      <c r="B70" s="347" t="s">
        <v>2243</v>
      </c>
      <c r="C70" s="396" t="s">
        <v>2244</v>
      </c>
      <c r="D70" s="396" t="s">
        <v>2245</v>
      </c>
      <c r="E70" s="350" t="s">
        <v>1724</v>
      </c>
      <c r="F70" s="350" t="s">
        <v>22</v>
      </c>
      <c r="G70" s="350" t="s">
        <v>1689</v>
      </c>
      <c r="H70" s="351" t="s">
        <v>1966</v>
      </c>
      <c r="I70" s="397">
        <v>240000</v>
      </c>
      <c r="J70" s="397">
        <v>0</v>
      </c>
      <c r="K70" s="397">
        <v>0</v>
      </c>
      <c r="L70" s="397">
        <v>0</v>
      </c>
      <c r="M70" s="397">
        <v>0</v>
      </c>
      <c r="N70" s="398" t="s">
        <v>1748</v>
      </c>
      <c r="O70" s="352">
        <f t="shared" si="8"/>
        <v>240000</v>
      </c>
    </row>
    <row r="71" spans="1:15" s="353" customFormat="1" ht="131.25" x14ac:dyDescent="0.2">
      <c r="A71" s="346">
        <v>26</v>
      </c>
      <c r="B71" s="347" t="s">
        <v>2337</v>
      </c>
      <c r="C71" s="396" t="s">
        <v>2338</v>
      </c>
      <c r="D71" s="396" t="s">
        <v>2339</v>
      </c>
      <c r="E71" s="350" t="s">
        <v>451</v>
      </c>
      <c r="F71" s="350" t="s">
        <v>22</v>
      </c>
      <c r="G71" s="350" t="s">
        <v>2249</v>
      </c>
      <c r="H71" s="351" t="s">
        <v>2340</v>
      </c>
      <c r="I71" s="397">
        <v>64000</v>
      </c>
      <c r="J71" s="397">
        <v>3200</v>
      </c>
      <c r="K71" s="397">
        <v>3200</v>
      </c>
      <c r="L71" s="397">
        <v>0</v>
      </c>
      <c r="M71" s="397">
        <v>0</v>
      </c>
      <c r="N71" s="398">
        <v>0</v>
      </c>
      <c r="O71" s="352">
        <f t="shared" si="8"/>
        <v>57600</v>
      </c>
    </row>
    <row r="72" spans="1:15" s="353" customFormat="1" ht="150" x14ac:dyDescent="0.2">
      <c r="A72" s="346">
        <v>27</v>
      </c>
      <c r="B72" s="347" t="s">
        <v>2337</v>
      </c>
      <c r="C72" s="396" t="s">
        <v>2341</v>
      </c>
      <c r="D72" s="396" t="s">
        <v>2342</v>
      </c>
      <c r="E72" s="350" t="s">
        <v>2343</v>
      </c>
      <c r="F72" s="350" t="s">
        <v>22</v>
      </c>
      <c r="G72" s="350" t="s">
        <v>2249</v>
      </c>
      <c r="H72" s="351" t="s">
        <v>2344</v>
      </c>
      <c r="I72" s="397">
        <v>21000</v>
      </c>
      <c r="J72" s="397">
        <v>1050</v>
      </c>
      <c r="K72" s="397">
        <v>1050</v>
      </c>
      <c r="L72" s="397">
        <v>0</v>
      </c>
      <c r="M72" s="397">
        <v>0</v>
      </c>
      <c r="N72" s="398">
        <v>0</v>
      </c>
      <c r="O72" s="352">
        <f t="shared" si="8"/>
        <v>18900</v>
      </c>
    </row>
    <row r="73" spans="1:15" s="353" customFormat="1" ht="131.25" x14ac:dyDescent="0.2">
      <c r="A73" s="346">
        <v>28</v>
      </c>
      <c r="B73" s="347" t="s">
        <v>2270</v>
      </c>
      <c r="C73" s="396" t="s">
        <v>2345</v>
      </c>
      <c r="D73" s="396" t="s">
        <v>2346</v>
      </c>
      <c r="E73" s="350" t="s">
        <v>1167</v>
      </c>
      <c r="F73" s="350" t="s">
        <v>22</v>
      </c>
      <c r="G73" s="350" t="s">
        <v>2347</v>
      </c>
      <c r="H73" s="351" t="s">
        <v>2348</v>
      </c>
      <c r="I73" s="397">
        <v>120000</v>
      </c>
      <c r="J73" s="397">
        <v>6000</v>
      </c>
      <c r="K73" s="397">
        <v>6000</v>
      </c>
      <c r="L73" s="397">
        <v>0</v>
      </c>
      <c r="M73" s="397">
        <v>0</v>
      </c>
      <c r="N73" s="398"/>
      <c r="O73" s="352">
        <f t="shared" si="8"/>
        <v>108000</v>
      </c>
    </row>
    <row r="74" spans="1:15" s="395" customFormat="1" x14ac:dyDescent="0.2">
      <c r="A74" s="388" t="s">
        <v>1229</v>
      </c>
      <c r="B74" s="389"/>
      <c r="C74" s="390"/>
      <c r="D74" s="390"/>
      <c r="E74" s="391"/>
      <c r="F74" s="391"/>
      <c r="G74" s="391"/>
      <c r="H74" s="392"/>
      <c r="I74" s="393">
        <f>SUM(I75:I80)</f>
        <v>1525679</v>
      </c>
      <c r="J74" s="393">
        <f t="shared" ref="J74:O74" si="9">SUM(J75:J80)</f>
        <v>0</v>
      </c>
      <c r="K74" s="393">
        <f t="shared" si="9"/>
        <v>0</v>
      </c>
      <c r="L74" s="393">
        <f t="shared" si="9"/>
        <v>8407.5</v>
      </c>
      <c r="M74" s="393">
        <f t="shared" si="9"/>
        <v>8407.5</v>
      </c>
      <c r="N74" s="393">
        <f t="shared" si="9"/>
        <v>0</v>
      </c>
      <c r="O74" s="394">
        <f t="shared" si="9"/>
        <v>1508864</v>
      </c>
    </row>
    <row r="75" spans="1:15" s="353" customFormat="1" ht="150" x14ac:dyDescent="0.2">
      <c r="A75" s="346">
        <v>1</v>
      </c>
      <c r="B75" s="347" t="s">
        <v>2026</v>
      </c>
      <c r="C75" s="396" t="s">
        <v>2027</v>
      </c>
      <c r="D75" s="396" t="s">
        <v>2028</v>
      </c>
      <c r="E75" s="350" t="s">
        <v>1885</v>
      </c>
      <c r="F75" s="350" t="s">
        <v>1229</v>
      </c>
      <c r="G75" s="350" t="s">
        <v>930</v>
      </c>
      <c r="H75" s="351" t="s">
        <v>2349</v>
      </c>
      <c r="I75" s="397">
        <f>142948+302500</f>
        <v>445448</v>
      </c>
      <c r="J75" s="397">
        <v>0</v>
      </c>
      <c r="K75" s="397">
        <v>0</v>
      </c>
      <c r="L75" s="397">
        <v>0</v>
      </c>
      <c r="M75" s="397">
        <v>0</v>
      </c>
      <c r="N75" s="398" t="s">
        <v>1786</v>
      </c>
      <c r="O75" s="352">
        <f t="shared" ref="O75:O80" si="10">+I75-(J75+K75+L75+M75)</f>
        <v>445448</v>
      </c>
    </row>
    <row r="76" spans="1:15" s="353" customFormat="1" ht="168.75" x14ac:dyDescent="0.2">
      <c r="A76" s="346">
        <v>2</v>
      </c>
      <c r="B76" s="347" t="s">
        <v>2026</v>
      </c>
      <c r="C76" s="396" t="s">
        <v>2027</v>
      </c>
      <c r="D76" s="396" t="s">
        <v>2028</v>
      </c>
      <c r="E76" s="350" t="s">
        <v>1886</v>
      </c>
      <c r="F76" s="350" t="s">
        <v>1229</v>
      </c>
      <c r="G76" s="350" t="s">
        <v>930</v>
      </c>
      <c r="H76" s="351" t="s">
        <v>2350</v>
      </c>
      <c r="I76" s="397">
        <f>168710+302800</f>
        <v>471510</v>
      </c>
      <c r="J76" s="397">
        <v>0</v>
      </c>
      <c r="K76" s="397">
        <v>0</v>
      </c>
      <c r="L76" s="397">
        <v>0</v>
      </c>
      <c r="M76" s="397">
        <v>0</v>
      </c>
      <c r="N76" s="398" t="s">
        <v>1786</v>
      </c>
      <c r="O76" s="352">
        <f t="shared" si="10"/>
        <v>471510</v>
      </c>
    </row>
    <row r="77" spans="1:15" s="353" customFormat="1" ht="150" x14ac:dyDescent="0.2">
      <c r="A77" s="346">
        <v>3</v>
      </c>
      <c r="B77" s="347" t="s">
        <v>2064</v>
      </c>
      <c r="C77" s="396" t="s">
        <v>2065</v>
      </c>
      <c r="D77" s="396" t="s">
        <v>2066</v>
      </c>
      <c r="E77" s="350" t="s">
        <v>1228</v>
      </c>
      <c r="F77" s="350" t="s">
        <v>1229</v>
      </c>
      <c r="G77" s="350" t="s">
        <v>1079</v>
      </c>
      <c r="H77" s="351" t="s">
        <v>2351</v>
      </c>
      <c r="I77" s="397">
        <v>232800</v>
      </c>
      <c r="J77" s="397">
        <v>0</v>
      </c>
      <c r="K77" s="397">
        <v>0</v>
      </c>
      <c r="L77" s="397">
        <v>0</v>
      </c>
      <c r="M77" s="397">
        <v>0</v>
      </c>
      <c r="N77" s="398" t="s">
        <v>1893</v>
      </c>
      <c r="O77" s="352">
        <f t="shared" si="10"/>
        <v>232800</v>
      </c>
    </row>
    <row r="78" spans="1:15" s="353" customFormat="1" ht="93.75" x14ac:dyDescent="0.2">
      <c r="A78" s="346">
        <v>4</v>
      </c>
      <c r="B78" s="347" t="s">
        <v>2069</v>
      </c>
      <c r="C78" s="396" t="s">
        <v>2070</v>
      </c>
      <c r="D78" s="396" t="s">
        <v>2071</v>
      </c>
      <c r="E78" s="350" t="s">
        <v>1885</v>
      </c>
      <c r="F78" s="350" t="s">
        <v>1229</v>
      </c>
      <c r="G78" s="350" t="s">
        <v>1198</v>
      </c>
      <c r="H78" s="351" t="s">
        <v>2352</v>
      </c>
      <c r="I78" s="397">
        <v>168150</v>
      </c>
      <c r="J78" s="397">
        <v>0</v>
      </c>
      <c r="K78" s="397">
        <v>0</v>
      </c>
      <c r="L78" s="397">
        <v>8407.5</v>
      </c>
      <c r="M78" s="397">
        <v>8407.5</v>
      </c>
      <c r="N78" s="398"/>
      <c r="O78" s="352">
        <f t="shared" si="10"/>
        <v>151335</v>
      </c>
    </row>
    <row r="79" spans="1:15" s="353" customFormat="1" ht="150" x14ac:dyDescent="0.2">
      <c r="A79" s="346">
        <v>5</v>
      </c>
      <c r="B79" s="347" t="s">
        <v>2166</v>
      </c>
      <c r="C79" s="396" t="s">
        <v>2167</v>
      </c>
      <c r="D79" s="396" t="s">
        <v>2168</v>
      </c>
      <c r="E79" s="350" t="s">
        <v>1885</v>
      </c>
      <c r="F79" s="350" t="s">
        <v>1229</v>
      </c>
      <c r="G79" s="350" t="s">
        <v>2154</v>
      </c>
      <c r="H79" s="351" t="s">
        <v>2353</v>
      </c>
      <c r="I79" s="397">
        <v>95298</v>
      </c>
      <c r="J79" s="397">
        <v>0</v>
      </c>
      <c r="K79" s="397">
        <v>0</v>
      </c>
      <c r="L79" s="397">
        <v>0</v>
      </c>
      <c r="M79" s="397">
        <v>0</v>
      </c>
      <c r="N79" s="398" t="s">
        <v>1786</v>
      </c>
      <c r="O79" s="352">
        <f t="shared" si="10"/>
        <v>95298</v>
      </c>
    </row>
    <row r="80" spans="1:15" s="353" customFormat="1" ht="168.75" x14ac:dyDescent="0.2">
      <c r="A80" s="346">
        <v>6</v>
      </c>
      <c r="B80" s="347" t="s">
        <v>2166</v>
      </c>
      <c r="C80" s="396" t="s">
        <v>2167</v>
      </c>
      <c r="D80" s="396" t="s">
        <v>2168</v>
      </c>
      <c r="E80" s="350" t="s">
        <v>1886</v>
      </c>
      <c r="F80" s="350" t="s">
        <v>1229</v>
      </c>
      <c r="G80" s="350" t="s">
        <v>2154</v>
      </c>
      <c r="H80" s="351" t="s">
        <v>2354</v>
      </c>
      <c r="I80" s="397">
        <v>112473</v>
      </c>
      <c r="J80" s="397">
        <v>0</v>
      </c>
      <c r="K80" s="397">
        <v>0</v>
      </c>
      <c r="L80" s="397">
        <v>0</v>
      </c>
      <c r="M80" s="397">
        <v>0</v>
      </c>
      <c r="N80" s="398" t="s">
        <v>1786</v>
      </c>
      <c r="O80" s="352">
        <f t="shared" si="10"/>
        <v>112473</v>
      </c>
    </row>
    <row r="81" spans="1:15" s="395" customFormat="1" x14ac:dyDescent="0.2">
      <c r="A81" s="388" t="s">
        <v>308</v>
      </c>
      <c r="B81" s="389"/>
      <c r="C81" s="390"/>
      <c r="D81" s="390"/>
      <c r="E81" s="391"/>
      <c r="F81" s="391"/>
      <c r="G81" s="391"/>
      <c r="H81" s="392"/>
      <c r="I81" s="393">
        <f>SUM(I82:I84)</f>
        <v>662200</v>
      </c>
      <c r="J81" s="393">
        <f t="shared" ref="J81:O81" si="11">SUM(J82:J84)</f>
        <v>0</v>
      </c>
      <c r="K81" s="393">
        <f t="shared" si="11"/>
        <v>0</v>
      </c>
      <c r="L81" s="393">
        <f t="shared" si="11"/>
        <v>4895</v>
      </c>
      <c r="M81" s="393">
        <f t="shared" si="11"/>
        <v>4895</v>
      </c>
      <c r="N81" s="393">
        <f t="shared" si="11"/>
        <v>0</v>
      </c>
      <c r="O81" s="394">
        <f t="shared" si="11"/>
        <v>652410</v>
      </c>
    </row>
    <row r="82" spans="1:15" s="353" customFormat="1" ht="225" x14ac:dyDescent="0.2">
      <c r="A82" s="346">
        <v>1</v>
      </c>
      <c r="B82" s="347" t="s">
        <v>2038</v>
      </c>
      <c r="C82" s="396" t="s">
        <v>2072</v>
      </c>
      <c r="D82" s="396" t="s">
        <v>2073</v>
      </c>
      <c r="E82" s="350" t="s">
        <v>1762</v>
      </c>
      <c r="F82" s="350" t="s">
        <v>308</v>
      </c>
      <c r="G82" s="350" t="s">
        <v>1763</v>
      </c>
      <c r="H82" s="351" t="s">
        <v>2355</v>
      </c>
      <c r="I82" s="397">
        <v>434300</v>
      </c>
      <c r="J82" s="397">
        <v>0</v>
      </c>
      <c r="K82" s="397">
        <v>0</v>
      </c>
      <c r="L82" s="397">
        <v>0</v>
      </c>
      <c r="M82" s="397">
        <v>0</v>
      </c>
      <c r="N82" s="398" t="s">
        <v>1742</v>
      </c>
      <c r="O82" s="352">
        <f>+I82-(J82+K82+L82+M82)</f>
        <v>434300</v>
      </c>
    </row>
    <row r="83" spans="1:15" s="353" customFormat="1" ht="93.75" x14ac:dyDescent="0.2">
      <c r="A83" s="346">
        <v>2</v>
      </c>
      <c r="B83" s="347" t="s">
        <v>2042</v>
      </c>
      <c r="C83" s="396" t="s">
        <v>2074</v>
      </c>
      <c r="D83" s="396" t="s">
        <v>2075</v>
      </c>
      <c r="E83" s="350" t="s">
        <v>1774</v>
      </c>
      <c r="F83" s="350" t="s">
        <v>308</v>
      </c>
      <c r="G83" s="350" t="s">
        <v>1198</v>
      </c>
      <c r="H83" s="351" t="s">
        <v>2356</v>
      </c>
      <c r="I83" s="397">
        <v>201400</v>
      </c>
      <c r="J83" s="397">
        <v>0</v>
      </c>
      <c r="K83" s="397">
        <v>0</v>
      </c>
      <c r="L83" s="397">
        <v>4895</v>
      </c>
      <c r="M83" s="397">
        <v>4895</v>
      </c>
      <c r="N83" s="398"/>
      <c r="O83" s="352">
        <f>+I83-(J83+K83+L83+M83)</f>
        <v>191610</v>
      </c>
    </row>
    <row r="84" spans="1:15" s="353" customFormat="1" ht="93.75" x14ac:dyDescent="0.2">
      <c r="A84" s="346">
        <v>3</v>
      </c>
      <c r="B84" s="347" t="s">
        <v>2337</v>
      </c>
      <c r="C84" s="396" t="s">
        <v>2357</v>
      </c>
      <c r="D84" s="396" t="s">
        <v>2358</v>
      </c>
      <c r="E84" s="350" t="s">
        <v>1774</v>
      </c>
      <c r="F84" s="350" t="s">
        <v>308</v>
      </c>
      <c r="G84" s="350" t="s">
        <v>1198</v>
      </c>
      <c r="H84" s="351" t="s">
        <v>2359</v>
      </c>
      <c r="I84" s="397">
        <v>26500</v>
      </c>
      <c r="J84" s="397">
        <v>0</v>
      </c>
      <c r="K84" s="397">
        <v>0</v>
      </c>
      <c r="L84" s="397">
        <v>0</v>
      </c>
      <c r="M84" s="397">
        <v>0</v>
      </c>
      <c r="N84" s="398" t="s">
        <v>1631</v>
      </c>
      <c r="O84" s="352">
        <f>+I84-(SUM(J84:N84))</f>
        <v>26500</v>
      </c>
    </row>
    <row r="85" spans="1:15" s="395" customFormat="1" x14ac:dyDescent="0.2">
      <c r="A85" s="388" t="s">
        <v>19</v>
      </c>
      <c r="B85" s="389"/>
      <c r="C85" s="390"/>
      <c r="D85" s="390"/>
      <c r="E85" s="391"/>
      <c r="F85" s="391"/>
      <c r="G85" s="391"/>
      <c r="H85" s="392"/>
      <c r="I85" s="393">
        <f>SUM(I86:I94)</f>
        <v>2444000</v>
      </c>
      <c r="J85" s="393">
        <f t="shared" ref="J85:O85" si="12">SUM(J86:J94)</f>
        <v>24200</v>
      </c>
      <c r="K85" s="393">
        <f t="shared" si="12"/>
        <v>24200</v>
      </c>
      <c r="L85" s="393">
        <f t="shared" si="12"/>
        <v>8550</v>
      </c>
      <c r="M85" s="393">
        <f t="shared" si="12"/>
        <v>8550</v>
      </c>
      <c r="N85" s="393">
        <f t="shared" si="12"/>
        <v>0</v>
      </c>
      <c r="O85" s="394">
        <f t="shared" si="12"/>
        <v>2378500</v>
      </c>
    </row>
    <row r="86" spans="1:15" s="353" customFormat="1" ht="131.25" x14ac:dyDescent="0.2">
      <c r="A86" s="346">
        <v>1</v>
      </c>
      <c r="B86" s="347" t="s">
        <v>2076</v>
      </c>
      <c r="C86" s="396" t="s">
        <v>2077</v>
      </c>
      <c r="D86" s="396" t="s">
        <v>2078</v>
      </c>
      <c r="E86" s="350" t="s">
        <v>199</v>
      </c>
      <c r="F86" s="350" t="s">
        <v>19</v>
      </c>
      <c r="G86" s="350" t="s">
        <v>1752</v>
      </c>
      <c r="H86" s="351" t="s">
        <v>2360</v>
      </c>
      <c r="I86" s="397">
        <v>45000</v>
      </c>
      <c r="J86" s="397">
        <v>3600</v>
      </c>
      <c r="K86" s="397">
        <v>3600</v>
      </c>
      <c r="L86" s="397">
        <v>0</v>
      </c>
      <c r="M86" s="397">
        <v>0</v>
      </c>
      <c r="N86" s="397"/>
      <c r="O86" s="352">
        <f>+I86-(J86+K86+L86+M86+N86)</f>
        <v>37800</v>
      </c>
    </row>
    <row r="87" spans="1:15" s="353" customFormat="1" ht="131.25" x14ac:dyDescent="0.2">
      <c r="A87" s="346">
        <v>2</v>
      </c>
      <c r="B87" s="347" t="s">
        <v>2076</v>
      </c>
      <c r="C87" s="396" t="s">
        <v>2079</v>
      </c>
      <c r="D87" s="396" t="s">
        <v>2078</v>
      </c>
      <c r="E87" s="350" t="s">
        <v>199</v>
      </c>
      <c r="F87" s="350" t="s">
        <v>19</v>
      </c>
      <c r="G87" s="350" t="s">
        <v>1752</v>
      </c>
      <c r="H87" s="351" t="s">
        <v>2361</v>
      </c>
      <c r="I87" s="397">
        <v>45000</v>
      </c>
      <c r="J87" s="397">
        <v>3600</v>
      </c>
      <c r="K87" s="397">
        <v>3600</v>
      </c>
      <c r="L87" s="397">
        <v>0</v>
      </c>
      <c r="M87" s="397">
        <v>0</v>
      </c>
      <c r="N87" s="397"/>
      <c r="O87" s="352">
        <f>+I87-(J87+K87+L87+M87+N87)</f>
        <v>37800</v>
      </c>
    </row>
    <row r="88" spans="1:15" s="353" customFormat="1" ht="112.5" x14ac:dyDescent="0.2">
      <c r="A88" s="346">
        <v>3</v>
      </c>
      <c r="B88" s="347" t="s">
        <v>2127</v>
      </c>
      <c r="C88" s="396" t="s">
        <v>2136</v>
      </c>
      <c r="D88" s="396" t="s">
        <v>2137</v>
      </c>
      <c r="E88" s="350" t="s">
        <v>2138</v>
      </c>
      <c r="F88" s="350" t="s">
        <v>19</v>
      </c>
      <c r="G88" s="350" t="s">
        <v>1198</v>
      </c>
      <c r="H88" s="351" t="s">
        <v>2362</v>
      </c>
      <c r="I88" s="397">
        <v>171000</v>
      </c>
      <c r="J88" s="397">
        <v>0</v>
      </c>
      <c r="K88" s="397">
        <v>0</v>
      </c>
      <c r="L88" s="397">
        <v>8550</v>
      </c>
      <c r="M88" s="397">
        <v>8550</v>
      </c>
      <c r="N88" s="398"/>
      <c r="O88" s="352">
        <f>+I88-(J88+K88+L88+M88)</f>
        <v>153900</v>
      </c>
    </row>
    <row r="89" spans="1:15" s="353" customFormat="1" ht="225" x14ac:dyDescent="0.2">
      <c r="A89" s="346">
        <v>4</v>
      </c>
      <c r="B89" s="347" t="s">
        <v>2191</v>
      </c>
      <c r="C89" s="396" t="s">
        <v>2192</v>
      </c>
      <c r="D89" s="396" t="s">
        <v>2193</v>
      </c>
      <c r="E89" s="350" t="s">
        <v>2194</v>
      </c>
      <c r="F89" s="350" t="s">
        <v>19</v>
      </c>
      <c r="G89" s="350" t="s">
        <v>2195</v>
      </c>
      <c r="H89" s="351" t="s">
        <v>2363</v>
      </c>
      <c r="I89" s="397">
        <v>204000</v>
      </c>
      <c r="J89" s="397">
        <v>10200</v>
      </c>
      <c r="K89" s="397">
        <v>10200</v>
      </c>
      <c r="L89" s="397">
        <v>0</v>
      </c>
      <c r="M89" s="397">
        <v>0</v>
      </c>
      <c r="N89" s="398"/>
      <c r="O89" s="352">
        <f>+I89-(J89+K89+L89+M89)</f>
        <v>183600</v>
      </c>
    </row>
    <row r="90" spans="1:15" s="353" customFormat="1" ht="131.25" x14ac:dyDescent="0.2">
      <c r="A90" s="346">
        <v>5</v>
      </c>
      <c r="B90" s="347" t="s">
        <v>2184</v>
      </c>
      <c r="C90" s="396" t="s">
        <v>2196</v>
      </c>
      <c r="D90" s="396" t="s">
        <v>2197</v>
      </c>
      <c r="E90" s="350" t="s">
        <v>2138</v>
      </c>
      <c r="F90" s="350" t="s">
        <v>19</v>
      </c>
      <c r="G90" s="350" t="s">
        <v>1763</v>
      </c>
      <c r="H90" s="351" t="s">
        <v>2364</v>
      </c>
      <c r="I90" s="397">
        <v>450000</v>
      </c>
      <c r="J90" s="397">
        <v>0</v>
      </c>
      <c r="K90" s="397">
        <v>0</v>
      </c>
      <c r="L90" s="397">
        <v>0</v>
      </c>
      <c r="M90" s="397">
        <v>0</v>
      </c>
      <c r="N90" s="398" t="s">
        <v>1786</v>
      </c>
      <c r="O90" s="352">
        <f>+I90-(SUM(J90:N90))</f>
        <v>450000</v>
      </c>
    </row>
    <row r="91" spans="1:15" s="353" customFormat="1" ht="225" x14ac:dyDescent="0.2">
      <c r="A91" s="346">
        <v>6</v>
      </c>
      <c r="B91" s="347" t="s">
        <v>2184</v>
      </c>
      <c r="C91" s="396" t="s">
        <v>2196</v>
      </c>
      <c r="D91" s="396" t="s">
        <v>2197</v>
      </c>
      <c r="E91" s="350" t="s">
        <v>2138</v>
      </c>
      <c r="F91" s="350" t="s">
        <v>19</v>
      </c>
      <c r="G91" s="350" t="s">
        <v>1763</v>
      </c>
      <c r="H91" s="351" t="s">
        <v>2365</v>
      </c>
      <c r="I91" s="397">
        <v>672000</v>
      </c>
      <c r="J91" s="397">
        <v>0</v>
      </c>
      <c r="K91" s="397">
        <v>0</v>
      </c>
      <c r="L91" s="397">
        <v>0</v>
      </c>
      <c r="M91" s="397">
        <v>0</v>
      </c>
      <c r="N91" s="398" t="s">
        <v>1786</v>
      </c>
      <c r="O91" s="352">
        <f>+I91-(SUM(J91:N91))</f>
        <v>672000</v>
      </c>
    </row>
    <row r="92" spans="1:15" s="353" customFormat="1" ht="187.5" x14ac:dyDescent="0.2">
      <c r="A92" s="346">
        <v>7</v>
      </c>
      <c r="B92" s="347" t="s">
        <v>2184</v>
      </c>
      <c r="C92" s="396" t="s">
        <v>2196</v>
      </c>
      <c r="D92" s="396" t="s">
        <v>2197</v>
      </c>
      <c r="E92" s="350" t="s">
        <v>2198</v>
      </c>
      <c r="F92" s="350" t="s">
        <v>19</v>
      </c>
      <c r="G92" s="350" t="s">
        <v>1763</v>
      </c>
      <c r="H92" s="351" t="s">
        <v>2366</v>
      </c>
      <c r="I92" s="397">
        <v>672000</v>
      </c>
      <c r="J92" s="397">
        <v>0</v>
      </c>
      <c r="K92" s="397">
        <v>0</v>
      </c>
      <c r="L92" s="397">
        <v>0</v>
      </c>
      <c r="M92" s="397">
        <v>0</v>
      </c>
      <c r="N92" s="398" t="s">
        <v>1786</v>
      </c>
      <c r="O92" s="352">
        <f>+I92-(SUM(J92:N92))</f>
        <v>672000</v>
      </c>
    </row>
    <row r="93" spans="1:15" s="353" customFormat="1" ht="187.5" x14ac:dyDescent="0.2">
      <c r="A93" s="346">
        <v>8</v>
      </c>
      <c r="B93" s="347" t="s">
        <v>2236</v>
      </c>
      <c r="C93" s="396" t="s">
        <v>2237</v>
      </c>
      <c r="D93" s="396" t="s">
        <v>2238</v>
      </c>
      <c r="E93" s="350" t="s">
        <v>1202</v>
      </c>
      <c r="F93" s="350" t="s">
        <v>19</v>
      </c>
      <c r="G93" s="350" t="s">
        <v>1799</v>
      </c>
      <c r="H93" s="351" t="s">
        <v>2367</v>
      </c>
      <c r="I93" s="397">
        <v>49000</v>
      </c>
      <c r="J93" s="397">
        <v>0</v>
      </c>
      <c r="K93" s="397">
        <v>0</v>
      </c>
      <c r="L93" s="397">
        <v>0</v>
      </c>
      <c r="M93" s="397">
        <v>0</v>
      </c>
      <c r="N93" s="398" t="s">
        <v>1837</v>
      </c>
      <c r="O93" s="352">
        <f>+I93-(SUM(J93:N93))</f>
        <v>49000</v>
      </c>
    </row>
    <row r="94" spans="1:15" s="353" customFormat="1" ht="225" x14ac:dyDescent="0.2">
      <c r="A94" s="346">
        <v>9</v>
      </c>
      <c r="B94" s="347" t="s">
        <v>2270</v>
      </c>
      <c r="C94" s="396" t="s">
        <v>2368</v>
      </c>
      <c r="D94" s="396" t="s">
        <v>2369</v>
      </c>
      <c r="E94" s="350" t="s">
        <v>2194</v>
      </c>
      <c r="F94" s="350" t="s">
        <v>19</v>
      </c>
      <c r="G94" s="350" t="s">
        <v>2195</v>
      </c>
      <c r="H94" s="351" t="s">
        <v>2370</v>
      </c>
      <c r="I94" s="397">
        <v>136000</v>
      </c>
      <c r="J94" s="397">
        <v>6800</v>
      </c>
      <c r="K94" s="397">
        <v>6800</v>
      </c>
      <c r="L94" s="397">
        <v>0</v>
      </c>
      <c r="M94" s="397">
        <v>0</v>
      </c>
      <c r="N94" s="398">
        <v>0</v>
      </c>
      <c r="O94" s="352">
        <f>+I94-(SUM(J94:N94))</f>
        <v>122400</v>
      </c>
    </row>
    <row r="95" spans="1:15" s="395" customFormat="1" x14ac:dyDescent="0.2">
      <c r="A95" s="388" t="s">
        <v>1067</v>
      </c>
      <c r="B95" s="389"/>
      <c r="C95" s="390"/>
      <c r="D95" s="390"/>
      <c r="E95" s="391"/>
      <c r="F95" s="391"/>
      <c r="G95" s="391"/>
      <c r="H95" s="392"/>
      <c r="I95" s="393">
        <f>SUM(I96:I115)</f>
        <v>4988510</v>
      </c>
      <c r="J95" s="393">
        <f t="shared" ref="J95:O95" si="13">SUM(J96:J115)</f>
        <v>247370</v>
      </c>
      <c r="K95" s="393">
        <f t="shared" si="13"/>
        <v>247370</v>
      </c>
      <c r="L95" s="393">
        <f t="shared" si="13"/>
        <v>5700</v>
      </c>
      <c r="M95" s="393">
        <f t="shared" si="13"/>
        <v>5700</v>
      </c>
      <c r="N95" s="393">
        <f t="shared" si="13"/>
        <v>0</v>
      </c>
      <c r="O95" s="394">
        <f t="shared" si="13"/>
        <v>4482370</v>
      </c>
    </row>
    <row r="96" spans="1:15" s="353" customFormat="1" ht="93.75" x14ac:dyDescent="0.2">
      <c r="A96" s="346">
        <v>1</v>
      </c>
      <c r="B96" s="347" t="s">
        <v>2080</v>
      </c>
      <c r="C96" s="396" t="s">
        <v>2081</v>
      </c>
      <c r="D96" s="396" t="s">
        <v>2082</v>
      </c>
      <c r="E96" s="350" t="s">
        <v>115</v>
      </c>
      <c r="F96" s="350" t="s">
        <v>117</v>
      </c>
      <c r="G96" s="350" t="s">
        <v>289</v>
      </c>
      <c r="H96" s="351" t="s">
        <v>1766</v>
      </c>
      <c r="I96" s="397">
        <v>85000</v>
      </c>
      <c r="J96" s="397">
        <v>6800</v>
      </c>
      <c r="K96" s="397">
        <v>6800</v>
      </c>
      <c r="L96" s="397">
        <v>0</v>
      </c>
      <c r="M96" s="397">
        <v>0</v>
      </c>
      <c r="N96" s="397"/>
      <c r="O96" s="352">
        <f>+I96-(J96+K96+L96+M96+N96)</f>
        <v>71400</v>
      </c>
    </row>
    <row r="97" spans="1:15" s="353" customFormat="1" ht="112.5" x14ac:dyDescent="0.2">
      <c r="A97" s="346">
        <v>2</v>
      </c>
      <c r="B97" s="347" t="s">
        <v>2083</v>
      </c>
      <c r="C97" s="396" t="s">
        <v>2084</v>
      </c>
      <c r="D97" s="396" t="s">
        <v>2085</v>
      </c>
      <c r="E97" s="350" t="s">
        <v>302</v>
      </c>
      <c r="F97" s="350" t="s">
        <v>117</v>
      </c>
      <c r="G97" s="350" t="s">
        <v>444</v>
      </c>
      <c r="H97" s="351" t="s">
        <v>2086</v>
      </c>
      <c r="I97" s="397">
        <f>30000+60000</f>
        <v>90000</v>
      </c>
      <c r="J97" s="397">
        <v>7200</v>
      </c>
      <c r="K97" s="397">
        <v>7200</v>
      </c>
      <c r="L97" s="397">
        <v>0</v>
      </c>
      <c r="M97" s="397">
        <v>0</v>
      </c>
      <c r="N97" s="397"/>
      <c r="O97" s="352">
        <f>+I97-(J97+K97+L97+M97+N97)</f>
        <v>75600</v>
      </c>
    </row>
    <row r="98" spans="1:15" s="353" customFormat="1" ht="150" x14ac:dyDescent="0.2">
      <c r="A98" s="346">
        <v>3</v>
      </c>
      <c r="B98" s="347" t="s">
        <v>2083</v>
      </c>
      <c r="C98" s="396" t="s">
        <v>2087</v>
      </c>
      <c r="D98" s="396" t="s">
        <v>2088</v>
      </c>
      <c r="E98" s="350" t="s">
        <v>115</v>
      </c>
      <c r="F98" s="350" t="s">
        <v>117</v>
      </c>
      <c r="G98" s="350" t="s">
        <v>318</v>
      </c>
      <c r="H98" s="351" t="s">
        <v>2371</v>
      </c>
      <c r="I98" s="397">
        <v>1250</v>
      </c>
      <c r="J98" s="397">
        <v>0</v>
      </c>
      <c r="K98" s="397">
        <v>0</v>
      </c>
      <c r="L98" s="397">
        <v>0</v>
      </c>
      <c r="M98" s="397">
        <v>0</v>
      </c>
      <c r="N98" s="398" t="s">
        <v>1631</v>
      </c>
      <c r="O98" s="352">
        <f>+I98-(J98+K98+L98+M98)</f>
        <v>1250</v>
      </c>
    </row>
    <row r="99" spans="1:15" s="353" customFormat="1" ht="93.75" x14ac:dyDescent="0.2">
      <c r="A99" s="346">
        <v>4</v>
      </c>
      <c r="B99" s="347" t="s">
        <v>2083</v>
      </c>
      <c r="C99" s="396" t="s">
        <v>2089</v>
      </c>
      <c r="D99" s="396" t="s">
        <v>2090</v>
      </c>
      <c r="E99" s="350" t="s">
        <v>115</v>
      </c>
      <c r="F99" s="350" t="s">
        <v>117</v>
      </c>
      <c r="G99" s="350" t="s">
        <v>941</v>
      </c>
      <c r="H99" s="351" t="s">
        <v>1766</v>
      </c>
      <c r="I99" s="397">
        <f>50000+178000</f>
        <v>228000</v>
      </c>
      <c r="J99" s="397">
        <v>18240</v>
      </c>
      <c r="K99" s="397">
        <v>18240</v>
      </c>
      <c r="L99" s="397">
        <v>0</v>
      </c>
      <c r="M99" s="397">
        <v>0</v>
      </c>
      <c r="N99" s="397"/>
      <c r="O99" s="352">
        <f>+I99-(J99+K99+L99+M99+N99)</f>
        <v>191520</v>
      </c>
    </row>
    <row r="100" spans="1:15" s="353" customFormat="1" ht="93.75" x14ac:dyDescent="0.2">
      <c r="A100" s="346">
        <v>5</v>
      </c>
      <c r="B100" s="347" t="s">
        <v>2091</v>
      </c>
      <c r="C100" s="396" t="s">
        <v>2092</v>
      </c>
      <c r="D100" s="396" t="s">
        <v>2093</v>
      </c>
      <c r="E100" s="350" t="s">
        <v>115</v>
      </c>
      <c r="F100" s="350" t="s">
        <v>117</v>
      </c>
      <c r="G100" s="350" t="s">
        <v>2094</v>
      </c>
      <c r="H100" s="351" t="s">
        <v>1766</v>
      </c>
      <c r="I100" s="397">
        <f>577000+69000</f>
        <v>646000</v>
      </c>
      <c r="J100" s="397">
        <v>51680</v>
      </c>
      <c r="K100" s="397">
        <v>51680</v>
      </c>
      <c r="L100" s="397">
        <v>0</v>
      </c>
      <c r="M100" s="397">
        <v>0</v>
      </c>
      <c r="N100" s="397"/>
      <c r="O100" s="352">
        <f>+I100-(J100+K100+L100+M100+N100)</f>
        <v>542640</v>
      </c>
    </row>
    <row r="101" spans="1:15" s="353" customFormat="1" ht="93.75" x14ac:dyDescent="0.2">
      <c r="A101" s="346">
        <v>6</v>
      </c>
      <c r="B101" s="347" t="s">
        <v>2095</v>
      </c>
      <c r="C101" s="396" t="s">
        <v>2096</v>
      </c>
      <c r="D101" s="396" t="s">
        <v>2097</v>
      </c>
      <c r="E101" s="350" t="s">
        <v>115</v>
      </c>
      <c r="F101" s="350" t="s">
        <v>117</v>
      </c>
      <c r="G101" s="350" t="s">
        <v>318</v>
      </c>
      <c r="H101" s="351" t="s">
        <v>1766</v>
      </c>
      <c r="I101" s="397">
        <v>19000</v>
      </c>
      <c r="J101" s="397">
        <v>1520</v>
      </c>
      <c r="K101" s="397">
        <v>1520</v>
      </c>
      <c r="L101" s="397">
        <v>0</v>
      </c>
      <c r="M101" s="397">
        <v>0</v>
      </c>
      <c r="N101" s="397"/>
      <c r="O101" s="352">
        <f>+I101-(J101+K101+L101+M101+N101)</f>
        <v>15960</v>
      </c>
    </row>
    <row r="102" spans="1:15" s="353" customFormat="1" ht="93.75" x14ac:dyDescent="0.2">
      <c r="A102" s="346">
        <v>7</v>
      </c>
      <c r="B102" s="347" t="s">
        <v>2098</v>
      </c>
      <c r="C102" s="396" t="s">
        <v>2099</v>
      </c>
      <c r="D102" s="396" t="s">
        <v>2100</v>
      </c>
      <c r="E102" s="350" t="s">
        <v>115</v>
      </c>
      <c r="F102" s="350" t="s">
        <v>117</v>
      </c>
      <c r="G102" s="350" t="s">
        <v>326</v>
      </c>
      <c r="H102" s="351" t="s">
        <v>1766</v>
      </c>
      <c r="I102" s="397">
        <f>25000+20000+19000+20000+40000</f>
        <v>124000</v>
      </c>
      <c r="J102" s="397">
        <v>9920</v>
      </c>
      <c r="K102" s="397">
        <v>9920</v>
      </c>
      <c r="L102" s="397">
        <v>0</v>
      </c>
      <c r="M102" s="397">
        <v>0</v>
      </c>
      <c r="N102" s="397"/>
      <c r="O102" s="352">
        <f>+I102-(J102+K102+L102+M102+N102)</f>
        <v>104160</v>
      </c>
    </row>
    <row r="103" spans="1:15" s="353" customFormat="1" ht="187.5" x14ac:dyDescent="0.2">
      <c r="A103" s="346">
        <v>8</v>
      </c>
      <c r="B103" s="347" t="s">
        <v>2057</v>
      </c>
      <c r="C103" s="396" t="s">
        <v>2058</v>
      </c>
      <c r="D103" s="396" t="s">
        <v>2059</v>
      </c>
      <c r="E103" s="350" t="s">
        <v>1785</v>
      </c>
      <c r="F103" s="350" t="s">
        <v>117</v>
      </c>
      <c r="G103" s="350" t="s">
        <v>930</v>
      </c>
      <c r="H103" s="351" t="s">
        <v>2372</v>
      </c>
      <c r="I103" s="397">
        <v>242860</v>
      </c>
      <c r="J103" s="397">
        <v>0</v>
      </c>
      <c r="K103" s="397">
        <v>0</v>
      </c>
      <c r="L103" s="397">
        <v>0</v>
      </c>
      <c r="M103" s="397">
        <v>0</v>
      </c>
      <c r="N103" s="398" t="s">
        <v>1786</v>
      </c>
      <c r="O103" s="352">
        <f t="shared" ref="O103:O108" si="14">+I103-(J103+K103+L103+M103)</f>
        <v>242860</v>
      </c>
    </row>
    <row r="104" spans="1:15" s="353" customFormat="1" ht="93.75" x14ac:dyDescent="0.2">
      <c r="A104" s="346">
        <v>9</v>
      </c>
      <c r="B104" s="347" t="s">
        <v>2035</v>
      </c>
      <c r="C104" s="396" t="s">
        <v>2101</v>
      </c>
      <c r="D104" s="396" t="s">
        <v>2102</v>
      </c>
      <c r="E104" s="350" t="s">
        <v>115</v>
      </c>
      <c r="F104" s="350" t="s">
        <v>117</v>
      </c>
      <c r="G104" s="350" t="s">
        <v>318</v>
      </c>
      <c r="H104" s="351" t="s">
        <v>1766</v>
      </c>
      <c r="I104" s="397">
        <v>17000</v>
      </c>
      <c r="J104" s="397">
        <v>1360</v>
      </c>
      <c r="K104" s="397">
        <v>1360</v>
      </c>
      <c r="L104" s="397">
        <v>0</v>
      </c>
      <c r="M104" s="397">
        <v>0</v>
      </c>
      <c r="N104" s="398"/>
      <c r="O104" s="352">
        <f t="shared" si="14"/>
        <v>14280</v>
      </c>
    </row>
    <row r="105" spans="1:15" s="353" customFormat="1" ht="168.75" x14ac:dyDescent="0.2">
      <c r="A105" s="346">
        <v>10</v>
      </c>
      <c r="B105" s="347" t="s">
        <v>2064</v>
      </c>
      <c r="C105" s="396" t="s">
        <v>2065</v>
      </c>
      <c r="D105" s="396" t="s">
        <v>2066</v>
      </c>
      <c r="E105" s="350" t="s">
        <v>1078</v>
      </c>
      <c r="F105" s="350" t="s">
        <v>1067</v>
      </c>
      <c r="G105" s="350" t="s">
        <v>1079</v>
      </c>
      <c r="H105" s="351" t="s">
        <v>2373</v>
      </c>
      <c r="I105" s="397">
        <v>240000</v>
      </c>
      <c r="J105" s="397">
        <v>0</v>
      </c>
      <c r="K105" s="397">
        <v>0</v>
      </c>
      <c r="L105" s="397">
        <v>0</v>
      </c>
      <c r="M105" s="397">
        <v>0</v>
      </c>
      <c r="N105" s="398" t="s">
        <v>1893</v>
      </c>
      <c r="O105" s="352">
        <f t="shared" si="14"/>
        <v>240000</v>
      </c>
    </row>
    <row r="106" spans="1:15" s="353" customFormat="1" ht="93.75" x14ac:dyDescent="0.2">
      <c r="A106" s="346">
        <v>11</v>
      </c>
      <c r="B106" s="347" t="s">
        <v>2127</v>
      </c>
      <c r="C106" s="396" t="s">
        <v>2143</v>
      </c>
      <c r="D106" s="396" t="s">
        <v>2144</v>
      </c>
      <c r="E106" s="350" t="s">
        <v>115</v>
      </c>
      <c r="F106" s="350" t="s">
        <v>117</v>
      </c>
      <c r="G106" s="350" t="s">
        <v>318</v>
      </c>
      <c r="H106" s="351" t="s">
        <v>1766</v>
      </c>
      <c r="I106" s="397">
        <v>20000</v>
      </c>
      <c r="J106" s="397">
        <v>1000</v>
      </c>
      <c r="K106" s="397">
        <v>1000</v>
      </c>
      <c r="L106" s="397">
        <v>0</v>
      </c>
      <c r="M106" s="397">
        <v>0</v>
      </c>
      <c r="N106" s="398"/>
      <c r="O106" s="352">
        <f t="shared" si="14"/>
        <v>18000</v>
      </c>
    </row>
    <row r="107" spans="1:15" s="353" customFormat="1" ht="93.75" x14ac:dyDescent="0.2">
      <c r="A107" s="346">
        <v>12</v>
      </c>
      <c r="B107" s="347" t="s">
        <v>2159</v>
      </c>
      <c r="C107" s="396" t="s">
        <v>2199</v>
      </c>
      <c r="D107" s="396" t="s">
        <v>2200</v>
      </c>
      <c r="E107" s="350" t="s">
        <v>2201</v>
      </c>
      <c r="F107" s="350" t="s">
        <v>117</v>
      </c>
      <c r="G107" s="350" t="s">
        <v>1198</v>
      </c>
      <c r="H107" s="351" t="s">
        <v>2374</v>
      </c>
      <c r="I107" s="397">
        <v>114000</v>
      </c>
      <c r="J107" s="397">
        <v>0</v>
      </c>
      <c r="K107" s="397">
        <v>0</v>
      </c>
      <c r="L107" s="397">
        <v>5700</v>
      </c>
      <c r="M107" s="397">
        <v>5700</v>
      </c>
      <c r="N107" s="398"/>
      <c r="O107" s="352">
        <f t="shared" si="14"/>
        <v>102600</v>
      </c>
    </row>
    <row r="108" spans="1:15" s="353" customFormat="1" ht="93.75" x14ac:dyDescent="0.2">
      <c r="A108" s="346">
        <v>13</v>
      </c>
      <c r="B108" s="347" t="s">
        <v>2202</v>
      </c>
      <c r="C108" s="396" t="s">
        <v>2203</v>
      </c>
      <c r="D108" s="396" t="s">
        <v>2204</v>
      </c>
      <c r="E108" s="350" t="s">
        <v>115</v>
      </c>
      <c r="F108" s="350" t="s">
        <v>117</v>
      </c>
      <c r="G108" s="350" t="s">
        <v>318</v>
      </c>
      <c r="H108" s="351" t="s">
        <v>1766</v>
      </c>
      <c r="I108" s="397">
        <v>20000</v>
      </c>
      <c r="J108" s="397">
        <v>1000</v>
      </c>
      <c r="K108" s="397">
        <v>1000</v>
      </c>
      <c r="L108" s="397">
        <v>0</v>
      </c>
      <c r="M108" s="397">
        <v>0</v>
      </c>
      <c r="N108" s="398"/>
      <c r="O108" s="352">
        <f t="shared" si="14"/>
        <v>18000</v>
      </c>
    </row>
    <row r="109" spans="1:15" s="353" customFormat="1" ht="150" x14ac:dyDescent="0.2">
      <c r="A109" s="346">
        <v>14</v>
      </c>
      <c r="B109" s="347" t="s">
        <v>2184</v>
      </c>
      <c r="C109" s="396" t="s">
        <v>2185</v>
      </c>
      <c r="D109" s="396" t="s">
        <v>2186</v>
      </c>
      <c r="E109" s="350" t="s">
        <v>2205</v>
      </c>
      <c r="F109" s="350" t="s">
        <v>117</v>
      </c>
      <c r="G109" s="350" t="s">
        <v>1763</v>
      </c>
      <c r="H109" s="351" t="s">
        <v>2375</v>
      </c>
      <c r="I109" s="397">
        <v>168400</v>
      </c>
      <c r="J109" s="397">
        <v>0</v>
      </c>
      <c r="K109" s="397">
        <v>0</v>
      </c>
      <c r="L109" s="397">
        <v>0</v>
      </c>
      <c r="M109" s="397">
        <v>0</v>
      </c>
      <c r="N109" s="398" t="s">
        <v>1786</v>
      </c>
      <c r="O109" s="352">
        <f t="shared" ref="O109:O115" si="15">+I109-(SUM(J109:N109))</f>
        <v>168400</v>
      </c>
    </row>
    <row r="110" spans="1:15" s="353" customFormat="1" ht="93.75" x14ac:dyDescent="0.2">
      <c r="A110" s="346">
        <v>15</v>
      </c>
      <c r="B110" s="347" t="s">
        <v>2243</v>
      </c>
      <c r="C110" s="396" t="s">
        <v>2250</v>
      </c>
      <c r="D110" s="396" t="s">
        <v>2251</v>
      </c>
      <c r="E110" s="350" t="s">
        <v>115</v>
      </c>
      <c r="F110" s="350" t="s">
        <v>117</v>
      </c>
      <c r="G110" s="350" t="s">
        <v>303</v>
      </c>
      <c r="H110" s="351" t="s">
        <v>1766</v>
      </c>
      <c r="I110" s="397">
        <v>45000</v>
      </c>
      <c r="J110" s="397">
        <v>2250</v>
      </c>
      <c r="K110" s="397">
        <v>2250</v>
      </c>
      <c r="L110" s="397">
        <v>0</v>
      </c>
      <c r="M110" s="397">
        <v>0</v>
      </c>
      <c r="N110" s="398"/>
      <c r="O110" s="352">
        <f t="shared" si="15"/>
        <v>40500</v>
      </c>
    </row>
    <row r="111" spans="1:15" s="353" customFormat="1" ht="93.75" x14ac:dyDescent="0.2">
      <c r="A111" s="346">
        <v>16</v>
      </c>
      <c r="B111" s="347" t="s">
        <v>2376</v>
      </c>
      <c r="C111" s="396" t="s">
        <v>2377</v>
      </c>
      <c r="D111" s="396" t="s">
        <v>2378</v>
      </c>
      <c r="E111" s="350" t="s">
        <v>115</v>
      </c>
      <c r="F111" s="350" t="s">
        <v>117</v>
      </c>
      <c r="G111" s="350" t="s">
        <v>2379</v>
      </c>
      <c r="H111" s="351" t="s">
        <v>1766</v>
      </c>
      <c r="I111" s="397">
        <v>20000</v>
      </c>
      <c r="J111" s="397">
        <v>1000</v>
      </c>
      <c r="K111" s="397">
        <v>1000</v>
      </c>
      <c r="L111" s="397">
        <v>0</v>
      </c>
      <c r="M111" s="397">
        <v>0</v>
      </c>
      <c r="N111" s="398">
        <v>0</v>
      </c>
      <c r="O111" s="352">
        <f t="shared" si="15"/>
        <v>18000</v>
      </c>
    </row>
    <row r="112" spans="1:15" s="353" customFormat="1" ht="93.75" x14ac:dyDescent="0.2">
      <c r="A112" s="346">
        <v>17</v>
      </c>
      <c r="B112" s="347" t="s">
        <v>2270</v>
      </c>
      <c r="C112" s="396" t="s">
        <v>2380</v>
      </c>
      <c r="D112" s="396" t="s">
        <v>2381</v>
      </c>
      <c r="E112" s="350" t="s">
        <v>115</v>
      </c>
      <c r="F112" s="350" t="s">
        <v>117</v>
      </c>
      <c r="G112" s="350" t="s">
        <v>554</v>
      </c>
      <c r="H112" s="351" t="s">
        <v>1766</v>
      </c>
      <c r="I112" s="397">
        <v>476000</v>
      </c>
      <c r="J112" s="397">
        <v>23800</v>
      </c>
      <c r="K112" s="397">
        <v>23800</v>
      </c>
      <c r="L112" s="397">
        <v>0</v>
      </c>
      <c r="M112" s="397">
        <v>0</v>
      </c>
      <c r="N112" s="398">
        <v>0</v>
      </c>
      <c r="O112" s="352">
        <f t="shared" si="15"/>
        <v>428400</v>
      </c>
    </row>
    <row r="113" spans="1:16" s="353" customFormat="1" ht="112.5" x14ac:dyDescent="0.2">
      <c r="A113" s="346">
        <v>18</v>
      </c>
      <c r="B113" s="347" t="s">
        <v>2270</v>
      </c>
      <c r="C113" s="396" t="s">
        <v>2382</v>
      </c>
      <c r="D113" s="396" t="s">
        <v>2383</v>
      </c>
      <c r="E113" s="350" t="s">
        <v>302</v>
      </c>
      <c r="F113" s="350" t="s">
        <v>117</v>
      </c>
      <c r="G113" s="350" t="s">
        <v>318</v>
      </c>
      <c r="H113" s="351" t="s">
        <v>2384</v>
      </c>
      <c r="I113" s="397">
        <v>25000</v>
      </c>
      <c r="J113" s="397">
        <v>1250</v>
      </c>
      <c r="K113" s="397">
        <v>1250</v>
      </c>
      <c r="L113" s="397">
        <v>0</v>
      </c>
      <c r="M113" s="397">
        <v>0</v>
      </c>
      <c r="N113" s="398">
        <v>0</v>
      </c>
      <c r="O113" s="352">
        <f t="shared" si="15"/>
        <v>22500</v>
      </c>
    </row>
    <row r="114" spans="1:16" s="353" customFormat="1" ht="93.75" x14ac:dyDescent="0.2">
      <c r="A114" s="346">
        <v>19</v>
      </c>
      <c r="B114" s="347" t="s">
        <v>2270</v>
      </c>
      <c r="C114" s="396" t="s">
        <v>2385</v>
      </c>
      <c r="D114" s="396" t="s">
        <v>2386</v>
      </c>
      <c r="E114" s="350" t="s">
        <v>115</v>
      </c>
      <c r="F114" s="350" t="s">
        <v>117</v>
      </c>
      <c r="G114" s="350" t="s">
        <v>318</v>
      </c>
      <c r="H114" s="351" t="s">
        <v>1766</v>
      </c>
      <c r="I114" s="397">
        <v>20000</v>
      </c>
      <c r="J114" s="397">
        <v>1000</v>
      </c>
      <c r="K114" s="397">
        <v>1000</v>
      </c>
      <c r="L114" s="397">
        <v>0</v>
      </c>
      <c r="M114" s="397">
        <v>0</v>
      </c>
      <c r="N114" s="398">
        <v>0</v>
      </c>
      <c r="O114" s="352">
        <f t="shared" si="15"/>
        <v>18000</v>
      </c>
    </row>
    <row r="115" spans="1:16" s="353" customFormat="1" ht="93.75" x14ac:dyDescent="0.2">
      <c r="A115" s="346">
        <v>20</v>
      </c>
      <c r="B115" s="347" t="s">
        <v>2387</v>
      </c>
      <c r="C115" s="396" t="s">
        <v>1109</v>
      </c>
      <c r="D115" s="396" t="s">
        <v>2388</v>
      </c>
      <c r="E115" s="350" t="s">
        <v>115</v>
      </c>
      <c r="F115" s="350" t="s">
        <v>117</v>
      </c>
      <c r="G115" s="350" t="s">
        <v>2389</v>
      </c>
      <c r="H115" s="351" t="s">
        <v>1766</v>
      </c>
      <c r="I115" s="397">
        <v>2387000</v>
      </c>
      <c r="J115" s="397">
        <v>119350</v>
      </c>
      <c r="K115" s="397">
        <v>119350</v>
      </c>
      <c r="L115" s="397">
        <v>0</v>
      </c>
      <c r="M115" s="397">
        <v>0</v>
      </c>
      <c r="N115" s="398">
        <v>0</v>
      </c>
      <c r="O115" s="352">
        <f t="shared" si="15"/>
        <v>2148300</v>
      </c>
    </row>
    <row r="116" spans="1:16" s="395" customFormat="1" x14ac:dyDescent="0.2">
      <c r="A116" s="388" t="s">
        <v>2209</v>
      </c>
      <c r="B116" s="389"/>
      <c r="C116" s="390"/>
      <c r="D116" s="390"/>
      <c r="E116" s="391"/>
      <c r="F116" s="391"/>
      <c r="G116" s="391"/>
      <c r="H116" s="392"/>
      <c r="I116" s="393">
        <f>SUM(I117:I123)</f>
        <v>1822112.8199999998</v>
      </c>
      <c r="J116" s="393">
        <f t="shared" ref="J116:O116" si="16">SUM(J117:J123)</f>
        <v>0</v>
      </c>
      <c r="K116" s="393">
        <f t="shared" si="16"/>
        <v>0</v>
      </c>
      <c r="L116" s="393">
        <f t="shared" si="16"/>
        <v>51506.909999999996</v>
      </c>
      <c r="M116" s="393">
        <f t="shared" si="16"/>
        <v>51506.909999999996</v>
      </c>
      <c r="N116" s="393">
        <f t="shared" si="16"/>
        <v>0</v>
      </c>
      <c r="O116" s="394">
        <f t="shared" si="16"/>
        <v>1719099</v>
      </c>
    </row>
    <row r="117" spans="1:16" s="353" customFormat="1" ht="168.75" x14ac:dyDescent="0.2">
      <c r="A117" s="346">
        <v>1</v>
      </c>
      <c r="B117" s="347" t="s">
        <v>2103</v>
      </c>
      <c r="C117" s="396" t="s">
        <v>2104</v>
      </c>
      <c r="D117" s="396" t="s">
        <v>2105</v>
      </c>
      <c r="E117" s="350" t="s">
        <v>1704</v>
      </c>
      <c r="F117" s="350" t="s">
        <v>706</v>
      </c>
      <c r="G117" s="350" t="s">
        <v>309</v>
      </c>
      <c r="H117" s="351" t="s">
        <v>1705</v>
      </c>
      <c r="I117" s="397">
        <v>24897.119999999999</v>
      </c>
      <c r="J117" s="397">
        <v>0</v>
      </c>
      <c r="K117" s="397">
        <v>0</v>
      </c>
      <c r="L117" s="397">
        <v>12448.56</v>
      </c>
      <c r="M117" s="397">
        <v>12448.56</v>
      </c>
      <c r="N117" s="397"/>
      <c r="O117" s="352">
        <f>+I117-(J117+K117+L117+M117+N117)</f>
        <v>0</v>
      </c>
    </row>
    <row r="118" spans="1:16" s="353" customFormat="1" ht="206.25" x14ac:dyDescent="0.2">
      <c r="A118" s="346">
        <v>2</v>
      </c>
      <c r="B118" s="347" t="s">
        <v>2057</v>
      </c>
      <c r="C118" s="396" t="s">
        <v>2058</v>
      </c>
      <c r="D118" s="396" t="s">
        <v>2059</v>
      </c>
      <c r="E118" s="350" t="s">
        <v>705</v>
      </c>
      <c r="F118" s="350" t="s">
        <v>706</v>
      </c>
      <c r="G118" s="350" t="s">
        <v>930</v>
      </c>
      <c r="H118" s="351" t="s">
        <v>2390</v>
      </c>
      <c r="I118" s="397">
        <v>194645</v>
      </c>
      <c r="J118" s="397">
        <v>0</v>
      </c>
      <c r="K118" s="397">
        <v>0</v>
      </c>
      <c r="L118" s="397">
        <v>0</v>
      </c>
      <c r="M118" s="397">
        <v>0</v>
      </c>
      <c r="N118" s="398" t="s">
        <v>1786</v>
      </c>
      <c r="O118" s="352">
        <f t="shared" ref="O118:O123" si="17">+I118-(J118+K118+L118+M118)</f>
        <v>194645</v>
      </c>
    </row>
    <row r="119" spans="1:16" s="353" customFormat="1" ht="131.25" x14ac:dyDescent="0.2">
      <c r="A119" s="346">
        <v>3</v>
      </c>
      <c r="B119" s="347" t="s">
        <v>2106</v>
      </c>
      <c r="C119" s="396" t="s">
        <v>2107</v>
      </c>
      <c r="D119" s="396" t="s">
        <v>2108</v>
      </c>
      <c r="E119" s="350" t="s">
        <v>2109</v>
      </c>
      <c r="F119" s="350" t="s">
        <v>1567</v>
      </c>
      <c r="G119" s="350" t="s">
        <v>1568</v>
      </c>
      <c r="H119" s="351" t="s">
        <v>2391</v>
      </c>
      <c r="I119" s="397">
        <f>140001+489998</f>
        <v>629999</v>
      </c>
      <c r="J119" s="397">
        <v>0</v>
      </c>
      <c r="K119" s="397">
        <v>0</v>
      </c>
      <c r="L119" s="397">
        <v>15909</v>
      </c>
      <c r="M119" s="397">
        <v>15909</v>
      </c>
      <c r="N119" s="398"/>
      <c r="O119" s="352">
        <f t="shared" si="17"/>
        <v>598181</v>
      </c>
    </row>
    <row r="120" spans="1:16" s="353" customFormat="1" ht="243.75" x14ac:dyDescent="0.2">
      <c r="A120" s="346">
        <v>4</v>
      </c>
      <c r="B120" s="347" t="s">
        <v>2106</v>
      </c>
      <c r="C120" s="396" t="s">
        <v>2110</v>
      </c>
      <c r="D120" s="396" t="s">
        <v>2111</v>
      </c>
      <c r="E120" s="350" t="s">
        <v>1733</v>
      </c>
      <c r="F120" s="350" t="s">
        <v>706</v>
      </c>
      <c r="G120" s="350" t="s">
        <v>309</v>
      </c>
      <c r="H120" s="351" t="s">
        <v>1734</v>
      </c>
      <c r="I120" s="397">
        <v>14480.7</v>
      </c>
      <c r="J120" s="397">
        <v>0</v>
      </c>
      <c r="K120" s="397">
        <v>0</v>
      </c>
      <c r="L120" s="397">
        <v>7240.35</v>
      </c>
      <c r="M120" s="397">
        <v>7240.35</v>
      </c>
      <c r="N120" s="398"/>
      <c r="O120" s="352">
        <f t="shared" si="17"/>
        <v>0</v>
      </c>
    </row>
    <row r="121" spans="1:16" s="353" customFormat="1" ht="112.5" x14ac:dyDescent="0.2">
      <c r="A121" s="346">
        <v>5</v>
      </c>
      <c r="B121" s="347" t="s">
        <v>2184</v>
      </c>
      <c r="C121" s="396" t="s">
        <v>2185</v>
      </c>
      <c r="D121" s="396" t="s">
        <v>2186</v>
      </c>
      <c r="E121" s="350" t="s">
        <v>1733</v>
      </c>
      <c r="F121" s="350" t="s">
        <v>2209</v>
      </c>
      <c r="G121" s="350" t="s">
        <v>2154</v>
      </c>
      <c r="H121" s="351" t="s">
        <v>2392</v>
      </c>
      <c r="I121" s="397">
        <v>212591</v>
      </c>
      <c r="J121" s="397">
        <v>0</v>
      </c>
      <c r="K121" s="397">
        <v>0</v>
      </c>
      <c r="L121" s="397">
        <v>0</v>
      </c>
      <c r="M121" s="397">
        <v>0</v>
      </c>
      <c r="N121" s="398" t="s">
        <v>1786</v>
      </c>
      <c r="O121" s="352">
        <f t="shared" si="17"/>
        <v>212591</v>
      </c>
    </row>
    <row r="122" spans="1:16" s="353" customFormat="1" ht="187.5" x14ac:dyDescent="0.2">
      <c r="A122" s="346">
        <v>6</v>
      </c>
      <c r="B122" s="347" t="s">
        <v>2184</v>
      </c>
      <c r="C122" s="396" t="s">
        <v>2185</v>
      </c>
      <c r="D122" s="396" t="s">
        <v>2186</v>
      </c>
      <c r="E122" s="350" t="s">
        <v>1733</v>
      </c>
      <c r="F122" s="350" t="s">
        <v>2209</v>
      </c>
      <c r="G122" s="350" t="s">
        <v>2154</v>
      </c>
      <c r="H122" s="351" t="s">
        <v>2393</v>
      </c>
      <c r="I122" s="397">
        <v>675500</v>
      </c>
      <c r="J122" s="397">
        <v>0</v>
      </c>
      <c r="K122" s="397">
        <v>0</v>
      </c>
      <c r="L122" s="397">
        <v>0</v>
      </c>
      <c r="M122" s="397">
        <v>0</v>
      </c>
      <c r="N122" s="398" t="s">
        <v>1786</v>
      </c>
      <c r="O122" s="352">
        <f t="shared" si="17"/>
        <v>675500</v>
      </c>
    </row>
    <row r="123" spans="1:16" s="353" customFormat="1" ht="131.25" x14ac:dyDescent="0.2">
      <c r="A123" s="346">
        <v>7</v>
      </c>
      <c r="B123" s="347" t="s">
        <v>2252</v>
      </c>
      <c r="C123" s="396" t="s">
        <v>2253</v>
      </c>
      <c r="D123" s="396" t="s">
        <v>2254</v>
      </c>
      <c r="E123" s="350" t="s">
        <v>2109</v>
      </c>
      <c r="F123" s="350" t="s">
        <v>1567</v>
      </c>
      <c r="G123" s="350" t="s">
        <v>1568</v>
      </c>
      <c r="H123" s="351" t="s">
        <v>2394</v>
      </c>
      <c r="I123" s="397">
        <v>70000</v>
      </c>
      <c r="J123" s="397">
        <v>0</v>
      </c>
      <c r="K123" s="397">
        <v>0</v>
      </c>
      <c r="L123" s="397">
        <v>15909</v>
      </c>
      <c r="M123" s="397">
        <v>15909</v>
      </c>
      <c r="N123" s="398"/>
      <c r="O123" s="352">
        <f t="shared" si="17"/>
        <v>38182</v>
      </c>
    </row>
    <row r="124" spans="1:16" s="395" customFormat="1" x14ac:dyDescent="0.2">
      <c r="A124" s="388" t="s">
        <v>2263</v>
      </c>
      <c r="B124" s="389"/>
      <c r="C124" s="390"/>
      <c r="D124" s="390"/>
      <c r="E124" s="391"/>
      <c r="F124" s="391"/>
      <c r="G124" s="391"/>
      <c r="H124" s="392"/>
      <c r="I124" s="393">
        <f>SUM(I125:I130)</f>
        <v>7175934.3900000006</v>
      </c>
      <c r="J124" s="393">
        <f t="shared" ref="J124:O124" si="18">SUM(J125:J130)</f>
        <v>40000</v>
      </c>
      <c r="K124" s="393">
        <f t="shared" si="18"/>
        <v>40000</v>
      </c>
      <c r="L124" s="393">
        <f t="shared" si="18"/>
        <v>569500</v>
      </c>
      <c r="M124" s="393">
        <f t="shared" si="18"/>
        <v>569500</v>
      </c>
      <c r="N124" s="393">
        <f t="shared" si="18"/>
        <v>0</v>
      </c>
      <c r="O124" s="394">
        <f t="shared" si="18"/>
        <v>5956934.3900000006</v>
      </c>
    </row>
    <row r="125" spans="1:16" s="376" customFormat="1" ht="150" x14ac:dyDescent="0.2">
      <c r="A125" s="346">
        <v>1</v>
      </c>
      <c r="B125" s="347" t="s">
        <v>2103</v>
      </c>
      <c r="C125" s="396" t="s">
        <v>2118</v>
      </c>
      <c r="D125" s="396" t="s">
        <v>2119</v>
      </c>
      <c r="E125" s="350" t="s">
        <v>1877</v>
      </c>
      <c r="F125" s="350" t="s">
        <v>2395</v>
      </c>
      <c r="G125" s="350" t="s">
        <v>1665</v>
      </c>
      <c r="H125" s="351" t="s">
        <v>2396</v>
      </c>
      <c r="I125" s="397">
        <v>200000</v>
      </c>
      <c r="J125" s="397">
        <v>0</v>
      </c>
      <c r="K125" s="397">
        <v>0</v>
      </c>
      <c r="L125" s="397">
        <v>0</v>
      </c>
      <c r="M125" s="397">
        <v>0</v>
      </c>
      <c r="N125" s="398" t="s">
        <v>1786</v>
      </c>
      <c r="O125" s="352">
        <f t="shared" ref="O125:O130" si="19">+I125-(J125+K125+L125+M125)</f>
        <v>200000</v>
      </c>
      <c r="P125" s="353"/>
    </row>
    <row r="126" spans="1:16" s="376" customFormat="1" ht="150" x14ac:dyDescent="0.2">
      <c r="A126" s="346">
        <v>2</v>
      </c>
      <c r="B126" s="347" t="s">
        <v>2057</v>
      </c>
      <c r="C126" s="396" t="s">
        <v>2120</v>
      </c>
      <c r="D126" s="396" t="s">
        <v>2121</v>
      </c>
      <c r="E126" s="350" t="s">
        <v>1251</v>
      </c>
      <c r="F126" s="350" t="s">
        <v>1252</v>
      </c>
      <c r="G126" s="350" t="s">
        <v>1253</v>
      </c>
      <c r="H126" s="351" t="s">
        <v>2397</v>
      </c>
      <c r="I126" s="397">
        <v>970000</v>
      </c>
      <c r="J126" s="397">
        <v>0</v>
      </c>
      <c r="K126" s="397">
        <v>0</v>
      </c>
      <c r="L126" s="397">
        <v>350000</v>
      </c>
      <c r="M126" s="397">
        <v>350000</v>
      </c>
      <c r="N126" s="398"/>
      <c r="O126" s="352">
        <f t="shared" si="19"/>
        <v>270000</v>
      </c>
      <c r="P126" s="353"/>
    </row>
    <row r="127" spans="1:16" s="353" customFormat="1" ht="150" x14ac:dyDescent="0.2">
      <c r="A127" s="346">
        <v>3</v>
      </c>
      <c r="B127" s="347" t="s">
        <v>2122</v>
      </c>
      <c r="C127" s="396" t="s">
        <v>2123</v>
      </c>
      <c r="D127" s="396" t="s">
        <v>2124</v>
      </c>
      <c r="E127" s="350" t="s">
        <v>1877</v>
      </c>
      <c r="F127" s="350" t="s">
        <v>2395</v>
      </c>
      <c r="G127" s="350" t="s">
        <v>1665</v>
      </c>
      <c r="H127" s="351" t="s">
        <v>2398</v>
      </c>
      <c r="I127" s="397">
        <v>150000</v>
      </c>
      <c r="J127" s="397">
        <v>40000</v>
      </c>
      <c r="K127" s="397">
        <v>40000</v>
      </c>
      <c r="L127" s="397">
        <v>0</v>
      </c>
      <c r="M127" s="397">
        <v>0</v>
      </c>
      <c r="N127" s="398"/>
      <c r="O127" s="352">
        <f t="shared" si="19"/>
        <v>70000</v>
      </c>
    </row>
    <row r="128" spans="1:16" s="353" customFormat="1" ht="131.25" x14ac:dyDescent="0.2">
      <c r="A128" s="346">
        <v>4</v>
      </c>
      <c r="B128" s="347" t="s">
        <v>2019</v>
      </c>
      <c r="C128" s="396" t="s">
        <v>2020</v>
      </c>
      <c r="D128" s="396" t="s">
        <v>2021</v>
      </c>
      <c r="E128" s="350" t="s">
        <v>1251</v>
      </c>
      <c r="F128" s="350" t="s">
        <v>2395</v>
      </c>
      <c r="G128" s="350" t="s">
        <v>1763</v>
      </c>
      <c r="H128" s="351" t="s">
        <v>2399</v>
      </c>
      <c r="I128" s="397">
        <v>746117</v>
      </c>
      <c r="J128" s="397">
        <v>0</v>
      </c>
      <c r="K128" s="397">
        <v>0</v>
      </c>
      <c r="L128" s="397">
        <v>0</v>
      </c>
      <c r="M128" s="397">
        <v>0</v>
      </c>
      <c r="N128" s="398" t="s">
        <v>1786</v>
      </c>
      <c r="O128" s="352">
        <f t="shared" si="19"/>
        <v>746117</v>
      </c>
    </row>
    <row r="129" spans="1:16" s="353" customFormat="1" ht="187.5" x14ac:dyDescent="0.2">
      <c r="A129" s="346">
        <v>5</v>
      </c>
      <c r="B129" s="347" t="s">
        <v>2156</v>
      </c>
      <c r="C129" s="396" t="s">
        <v>2206</v>
      </c>
      <c r="D129" s="396" t="s">
        <v>2207</v>
      </c>
      <c r="E129" s="350" t="s">
        <v>1741</v>
      </c>
      <c r="F129" s="350" t="s">
        <v>2208</v>
      </c>
      <c r="G129" s="350" t="s">
        <v>1253</v>
      </c>
      <c r="H129" s="351" t="s">
        <v>2400</v>
      </c>
      <c r="I129" s="397">
        <v>699237.39</v>
      </c>
      <c r="J129" s="397">
        <v>0</v>
      </c>
      <c r="K129" s="397">
        <v>0</v>
      </c>
      <c r="L129" s="397">
        <v>219500</v>
      </c>
      <c r="M129" s="397">
        <v>219500</v>
      </c>
      <c r="N129" s="398"/>
      <c r="O129" s="352">
        <f t="shared" si="19"/>
        <v>260237.39</v>
      </c>
    </row>
    <row r="130" spans="1:16" s="353" customFormat="1" ht="93.75" x14ac:dyDescent="0.2">
      <c r="A130" s="346">
        <v>6</v>
      </c>
      <c r="B130" s="347" t="s">
        <v>2151</v>
      </c>
      <c r="C130" s="396" t="s">
        <v>2152</v>
      </c>
      <c r="D130" s="396" t="s">
        <v>2153</v>
      </c>
      <c r="E130" s="350" t="s">
        <v>1251</v>
      </c>
      <c r="F130" s="350" t="s">
        <v>2212</v>
      </c>
      <c r="G130" s="350" t="s">
        <v>2154</v>
      </c>
      <c r="H130" s="351" t="s">
        <v>2401</v>
      </c>
      <c r="I130" s="397">
        <v>4410580</v>
      </c>
      <c r="J130" s="397">
        <v>0</v>
      </c>
      <c r="K130" s="397">
        <v>0</v>
      </c>
      <c r="L130" s="397">
        <v>0</v>
      </c>
      <c r="M130" s="397">
        <v>0</v>
      </c>
      <c r="N130" s="398" t="s">
        <v>1786</v>
      </c>
      <c r="O130" s="352">
        <f t="shared" si="19"/>
        <v>4410580</v>
      </c>
    </row>
    <row r="131" spans="1:16" s="395" customFormat="1" x14ac:dyDescent="0.2">
      <c r="A131" s="388" t="s">
        <v>923</v>
      </c>
      <c r="B131" s="389"/>
      <c r="C131" s="390"/>
      <c r="D131" s="390"/>
      <c r="E131" s="391"/>
      <c r="F131" s="391"/>
      <c r="G131" s="391"/>
      <c r="H131" s="392"/>
      <c r="I131" s="393">
        <f>SUM(I132:I134)</f>
        <v>850473.5</v>
      </c>
      <c r="J131" s="393">
        <f t="shared" ref="J131:O131" si="20">SUM(J132:J134)</f>
        <v>0</v>
      </c>
      <c r="K131" s="393">
        <f t="shared" si="20"/>
        <v>0</v>
      </c>
      <c r="L131" s="393">
        <f t="shared" si="20"/>
        <v>8909.25</v>
      </c>
      <c r="M131" s="393">
        <f t="shared" si="20"/>
        <v>8909.25</v>
      </c>
      <c r="N131" s="393">
        <f t="shared" si="20"/>
        <v>0</v>
      </c>
      <c r="O131" s="394">
        <f t="shared" si="20"/>
        <v>832655</v>
      </c>
    </row>
    <row r="132" spans="1:16" s="353" customFormat="1" ht="168.75" x14ac:dyDescent="0.2">
      <c r="A132" s="346">
        <v>1</v>
      </c>
      <c r="B132" s="347" t="s">
        <v>2112</v>
      </c>
      <c r="C132" s="378" t="s">
        <v>2113</v>
      </c>
      <c r="D132" s="396" t="s">
        <v>2114</v>
      </c>
      <c r="E132" s="350" t="s">
        <v>929</v>
      </c>
      <c r="F132" s="350" t="s">
        <v>923</v>
      </c>
      <c r="G132" s="350" t="s">
        <v>930</v>
      </c>
      <c r="H132" s="351" t="s">
        <v>2402</v>
      </c>
      <c r="I132" s="397">
        <v>209932</v>
      </c>
      <c r="J132" s="397">
        <v>0</v>
      </c>
      <c r="K132" s="397">
        <v>0</v>
      </c>
      <c r="L132" s="397">
        <v>6367.75</v>
      </c>
      <c r="M132" s="397">
        <v>6367.75</v>
      </c>
      <c r="N132" s="397"/>
      <c r="O132" s="352">
        <f>+I132-(J132+K132+L132+M132+N132)</f>
        <v>197196.5</v>
      </c>
    </row>
    <row r="133" spans="1:16" s="353" customFormat="1" ht="131.25" x14ac:dyDescent="0.2">
      <c r="A133" s="371">
        <v>2</v>
      </c>
      <c r="B133" s="377" t="s">
        <v>2151</v>
      </c>
      <c r="C133" s="399" t="s">
        <v>2152</v>
      </c>
      <c r="D133" s="378" t="s">
        <v>2153</v>
      </c>
      <c r="E133" s="374" t="s">
        <v>2210</v>
      </c>
      <c r="F133" s="374" t="s">
        <v>923</v>
      </c>
      <c r="G133" s="374" t="s">
        <v>2211</v>
      </c>
      <c r="H133" s="375" t="s">
        <v>2403</v>
      </c>
      <c r="I133" s="379">
        <v>631000</v>
      </c>
      <c r="J133" s="379">
        <v>0</v>
      </c>
      <c r="K133" s="379">
        <v>0</v>
      </c>
      <c r="L133" s="379">
        <v>0</v>
      </c>
      <c r="M133" s="379">
        <v>0</v>
      </c>
      <c r="N133" s="398" t="s">
        <v>1786</v>
      </c>
      <c r="O133" s="352">
        <f>+I133-(SUM(J133:N133))</f>
        <v>631000</v>
      </c>
      <c r="P133" s="376"/>
    </row>
    <row r="134" spans="1:16" s="353" customFormat="1" ht="225" x14ac:dyDescent="0.2">
      <c r="A134" s="346">
        <v>3</v>
      </c>
      <c r="B134" s="377" t="s">
        <v>2255</v>
      </c>
      <c r="C134" s="399" t="s">
        <v>2256</v>
      </c>
      <c r="D134" s="378" t="s">
        <v>2257</v>
      </c>
      <c r="E134" s="350" t="s">
        <v>929</v>
      </c>
      <c r="F134" s="350" t="s">
        <v>923</v>
      </c>
      <c r="G134" s="350" t="s">
        <v>930</v>
      </c>
      <c r="H134" s="375" t="s">
        <v>2404</v>
      </c>
      <c r="I134" s="379">
        <v>9541.5</v>
      </c>
      <c r="J134" s="379">
        <v>0</v>
      </c>
      <c r="K134" s="379">
        <v>0</v>
      </c>
      <c r="L134" s="379">
        <v>2541.5</v>
      </c>
      <c r="M134" s="379">
        <v>2541.5</v>
      </c>
      <c r="N134" s="398"/>
      <c r="O134" s="352">
        <f>+I134-(SUM(J134:N134))</f>
        <v>4458.5</v>
      </c>
      <c r="P134" s="376"/>
    </row>
    <row r="135" spans="1:16" s="395" customFormat="1" x14ac:dyDescent="0.2">
      <c r="A135" s="388" t="s">
        <v>283</v>
      </c>
      <c r="B135" s="389"/>
      <c r="C135" s="390"/>
      <c r="D135" s="390"/>
      <c r="E135" s="391"/>
      <c r="F135" s="391"/>
      <c r="G135" s="391"/>
      <c r="H135" s="392"/>
      <c r="I135" s="393">
        <f>SUM(I136:I137)</f>
        <v>672000</v>
      </c>
      <c r="J135" s="393">
        <f t="shared" ref="J135:O135" si="21">SUM(J136:J137)</f>
        <v>0</v>
      </c>
      <c r="K135" s="393">
        <f t="shared" si="21"/>
        <v>0</v>
      </c>
      <c r="L135" s="393">
        <f t="shared" si="21"/>
        <v>0</v>
      </c>
      <c r="M135" s="393">
        <f t="shared" si="21"/>
        <v>0</v>
      </c>
      <c r="N135" s="393">
        <f t="shared" si="21"/>
        <v>0</v>
      </c>
      <c r="O135" s="394">
        <f t="shared" si="21"/>
        <v>672000</v>
      </c>
    </row>
    <row r="136" spans="1:16" s="353" customFormat="1" ht="337.5" x14ac:dyDescent="0.2">
      <c r="A136" s="346">
        <v>1</v>
      </c>
      <c r="B136" s="347" t="s">
        <v>2258</v>
      </c>
      <c r="C136" s="396" t="s">
        <v>2259</v>
      </c>
      <c r="D136" s="396" t="s">
        <v>2260</v>
      </c>
      <c r="E136" s="350" t="s">
        <v>2405</v>
      </c>
      <c r="F136" s="350" t="s">
        <v>283</v>
      </c>
      <c r="G136" s="350" t="s">
        <v>2261</v>
      </c>
      <c r="H136" s="351" t="s">
        <v>2406</v>
      </c>
      <c r="I136" s="397">
        <v>420000</v>
      </c>
      <c r="J136" s="397">
        <v>0</v>
      </c>
      <c r="K136" s="397">
        <v>0</v>
      </c>
      <c r="L136" s="397">
        <v>0</v>
      </c>
      <c r="M136" s="397">
        <v>0</v>
      </c>
      <c r="N136" s="398" t="s">
        <v>1837</v>
      </c>
      <c r="O136" s="352">
        <f>+I136-(SUM(J136:N136))</f>
        <v>420000</v>
      </c>
    </row>
    <row r="137" spans="1:16" s="353" customFormat="1" ht="262.5" x14ac:dyDescent="0.2">
      <c r="A137" s="371">
        <v>2</v>
      </c>
      <c r="B137" s="347" t="s">
        <v>2258</v>
      </c>
      <c r="C137" s="396" t="s">
        <v>2259</v>
      </c>
      <c r="D137" s="396" t="s">
        <v>2260</v>
      </c>
      <c r="E137" s="350" t="s">
        <v>2407</v>
      </c>
      <c r="F137" s="350" t="s">
        <v>283</v>
      </c>
      <c r="G137" s="350" t="s">
        <v>2261</v>
      </c>
      <c r="H137" s="351" t="s">
        <v>2408</v>
      </c>
      <c r="I137" s="397">
        <v>252000</v>
      </c>
      <c r="J137" s="397">
        <v>0</v>
      </c>
      <c r="K137" s="397">
        <v>0</v>
      </c>
      <c r="L137" s="397">
        <v>0</v>
      </c>
      <c r="M137" s="397">
        <v>0</v>
      </c>
      <c r="N137" s="398" t="s">
        <v>1837</v>
      </c>
      <c r="O137" s="352">
        <f>+I137-(SUM(J137:N137))</f>
        <v>252000</v>
      </c>
    </row>
    <row r="138" spans="1:16" s="395" customFormat="1" x14ac:dyDescent="0.2">
      <c r="A138" s="388" t="s">
        <v>2149</v>
      </c>
      <c r="B138" s="389"/>
      <c r="C138" s="390"/>
      <c r="D138" s="390"/>
      <c r="E138" s="391"/>
      <c r="F138" s="391"/>
      <c r="G138" s="391"/>
      <c r="H138" s="392"/>
      <c r="I138" s="393">
        <f>SUM(I139:I143)</f>
        <v>1322200</v>
      </c>
      <c r="J138" s="393">
        <f t="shared" ref="J138:O138" si="22">SUM(J139:J143)</f>
        <v>15000</v>
      </c>
      <c r="K138" s="393">
        <f t="shared" si="22"/>
        <v>15000</v>
      </c>
      <c r="L138" s="393">
        <f t="shared" si="22"/>
        <v>0</v>
      </c>
      <c r="M138" s="393">
        <f t="shared" si="22"/>
        <v>0</v>
      </c>
      <c r="N138" s="393">
        <f t="shared" si="22"/>
        <v>0</v>
      </c>
      <c r="O138" s="394">
        <f t="shared" si="22"/>
        <v>1292200</v>
      </c>
    </row>
    <row r="139" spans="1:16" s="353" customFormat="1" ht="112.5" x14ac:dyDescent="0.2">
      <c r="A139" s="346">
        <v>1</v>
      </c>
      <c r="B139" s="347" t="s">
        <v>2213</v>
      </c>
      <c r="C139" s="396" t="s">
        <v>2214</v>
      </c>
      <c r="D139" s="396" t="s">
        <v>2215</v>
      </c>
      <c r="E139" s="350" t="s">
        <v>1251</v>
      </c>
      <c r="F139" s="350" t="s">
        <v>2216</v>
      </c>
      <c r="G139" s="350" t="s">
        <v>1763</v>
      </c>
      <c r="H139" s="351" t="s">
        <v>2409</v>
      </c>
      <c r="I139" s="397">
        <v>672200</v>
      </c>
      <c r="J139" s="397">
        <v>0</v>
      </c>
      <c r="K139" s="397">
        <v>0</v>
      </c>
      <c r="L139" s="397">
        <v>0</v>
      </c>
      <c r="M139" s="397">
        <v>0</v>
      </c>
      <c r="N139" s="398" t="s">
        <v>2325</v>
      </c>
      <c r="O139" s="352">
        <f>+I139-(J139+K139+L139+M139)</f>
        <v>672200</v>
      </c>
    </row>
    <row r="140" spans="1:16" s="353" customFormat="1" ht="93.75" x14ac:dyDescent="0.2">
      <c r="A140" s="346">
        <v>2</v>
      </c>
      <c r="B140" s="347" t="s">
        <v>2151</v>
      </c>
      <c r="C140" s="396" t="s">
        <v>2217</v>
      </c>
      <c r="D140" s="396" t="s">
        <v>2218</v>
      </c>
      <c r="E140" s="350" t="s">
        <v>2219</v>
      </c>
      <c r="F140" s="350" t="s">
        <v>2149</v>
      </c>
      <c r="G140" s="350" t="s">
        <v>2220</v>
      </c>
      <c r="H140" s="351" t="s">
        <v>2410</v>
      </c>
      <c r="I140" s="397">
        <v>100000</v>
      </c>
      <c r="J140" s="397">
        <v>5000</v>
      </c>
      <c r="K140" s="397">
        <v>5000</v>
      </c>
      <c r="L140" s="397">
        <v>0</v>
      </c>
      <c r="M140" s="397">
        <v>0</v>
      </c>
      <c r="N140" s="398"/>
      <c r="O140" s="352">
        <f>+I140-(SUM(J140:N140))</f>
        <v>90000</v>
      </c>
    </row>
    <row r="141" spans="1:16" s="353" customFormat="1" ht="93.75" x14ac:dyDescent="0.2">
      <c r="A141" s="346">
        <v>3</v>
      </c>
      <c r="B141" s="347" t="s">
        <v>2411</v>
      </c>
      <c r="C141" s="396" t="s">
        <v>2412</v>
      </c>
      <c r="D141" s="396" t="s">
        <v>2413</v>
      </c>
      <c r="E141" s="350" t="s">
        <v>2414</v>
      </c>
      <c r="F141" s="350" t="s">
        <v>2149</v>
      </c>
      <c r="G141" s="350" t="s">
        <v>2415</v>
      </c>
      <c r="H141" s="351" t="s">
        <v>2416</v>
      </c>
      <c r="I141" s="397">
        <v>350000</v>
      </c>
      <c r="J141" s="397">
        <v>0</v>
      </c>
      <c r="K141" s="397"/>
      <c r="L141" s="397"/>
      <c r="M141" s="397"/>
      <c r="N141" s="398" t="s">
        <v>2417</v>
      </c>
      <c r="O141" s="352">
        <f>+I141-(SUM(J141:N141))</f>
        <v>350000</v>
      </c>
    </row>
    <row r="142" spans="1:16" s="353" customFormat="1" ht="93.75" x14ac:dyDescent="0.2">
      <c r="A142" s="346">
        <v>4</v>
      </c>
      <c r="B142" s="347" t="s">
        <v>2418</v>
      </c>
      <c r="C142" s="396" t="s">
        <v>2419</v>
      </c>
      <c r="D142" s="396" t="s">
        <v>2420</v>
      </c>
      <c r="E142" s="350" t="s">
        <v>2421</v>
      </c>
      <c r="F142" s="350" t="s">
        <v>2149</v>
      </c>
      <c r="G142" s="350" t="s">
        <v>2422</v>
      </c>
      <c r="H142" s="351" t="s">
        <v>2423</v>
      </c>
      <c r="I142" s="397">
        <v>50000</v>
      </c>
      <c r="J142" s="397">
        <v>2500</v>
      </c>
      <c r="K142" s="397">
        <v>2500</v>
      </c>
      <c r="L142" s="397">
        <v>0</v>
      </c>
      <c r="M142" s="397">
        <v>0</v>
      </c>
      <c r="N142" s="398">
        <v>0</v>
      </c>
      <c r="O142" s="352">
        <f>+I142-(SUM(J142:N142))</f>
        <v>45000</v>
      </c>
    </row>
    <row r="143" spans="1:16" s="353" customFormat="1" ht="93.75" x14ac:dyDescent="0.2">
      <c r="A143" s="346">
        <v>5</v>
      </c>
      <c r="B143" s="347" t="s">
        <v>2424</v>
      </c>
      <c r="C143" s="396" t="s">
        <v>2425</v>
      </c>
      <c r="D143" s="396" t="s">
        <v>2426</v>
      </c>
      <c r="E143" s="350" t="s">
        <v>2219</v>
      </c>
      <c r="F143" s="350" t="s">
        <v>2149</v>
      </c>
      <c r="G143" s="350" t="s">
        <v>2220</v>
      </c>
      <c r="H143" s="351" t="s">
        <v>2427</v>
      </c>
      <c r="I143" s="397">
        <v>150000</v>
      </c>
      <c r="J143" s="397">
        <v>7500</v>
      </c>
      <c r="K143" s="397">
        <v>7500</v>
      </c>
      <c r="L143" s="397">
        <v>0</v>
      </c>
      <c r="M143" s="397">
        <v>0</v>
      </c>
      <c r="N143" s="398">
        <v>0</v>
      </c>
      <c r="O143" s="352">
        <f>+I143-(SUM(J143:N143))</f>
        <v>135000</v>
      </c>
    </row>
    <row r="144" spans="1:16" s="395" customFormat="1" x14ac:dyDescent="0.2">
      <c r="A144" s="388" t="s">
        <v>2264</v>
      </c>
      <c r="B144" s="389"/>
      <c r="C144" s="390"/>
      <c r="D144" s="390"/>
      <c r="E144" s="391"/>
      <c r="F144" s="391"/>
      <c r="G144" s="391"/>
      <c r="H144" s="392"/>
      <c r="I144" s="393">
        <f>SUM(I145)</f>
        <v>500000</v>
      </c>
      <c r="J144" s="393">
        <f t="shared" ref="J144:O144" si="23">SUM(J145)</f>
        <v>0</v>
      </c>
      <c r="K144" s="393">
        <f t="shared" si="23"/>
        <v>0</v>
      </c>
      <c r="L144" s="393">
        <f t="shared" si="23"/>
        <v>21091</v>
      </c>
      <c r="M144" s="393">
        <f t="shared" si="23"/>
        <v>21091</v>
      </c>
      <c r="N144" s="393">
        <f t="shared" si="23"/>
        <v>0</v>
      </c>
      <c r="O144" s="394">
        <f t="shared" si="23"/>
        <v>457818</v>
      </c>
    </row>
    <row r="145" spans="1:15" s="353" customFormat="1" ht="168.75" x14ac:dyDescent="0.2">
      <c r="A145" s="346">
        <v>1</v>
      </c>
      <c r="B145" s="347" t="s">
        <v>2115</v>
      </c>
      <c r="C145" s="396" t="s">
        <v>2116</v>
      </c>
      <c r="D145" s="396" t="s">
        <v>2428</v>
      </c>
      <c r="E145" s="350" t="s">
        <v>2117</v>
      </c>
      <c r="F145" s="350" t="s">
        <v>2429</v>
      </c>
      <c r="G145" s="350" t="s">
        <v>1897</v>
      </c>
      <c r="H145" s="351" t="s">
        <v>2430</v>
      </c>
      <c r="I145" s="397">
        <v>500000</v>
      </c>
      <c r="J145" s="397">
        <v>0</v>
      </c>
      <c r="K145" s="397">
        <v>0</v>
      </c>
      <c r="L145" s="397">
        <v>21091</v>
      </c>
      <c r="M145" s="397">
        <v>21091</v>
      </c>
      <c r="N145" s="397"/>
      <c r="O145" s="352">
        <f>+I145-(J145+K145+L145+M145+N145)</f>
        <v>457818</v>
      </c>
    </row>
    <row r="146" spans="1:15" s="395" customFormat="1" x14ac:dyDescent="0.2">
      <c r="A146" s="388" t="s">
        <v>2150</v>
      </c>
      <c r="B146" s="389"/>
      <c r="C146" s="390"/>
      <c r="D146" s="390"/>
      <c r="E146" s="391"/>
      <c r="F146" s="391"/>
      <c r="G146" s="391"/>
      <c r="H146" s="392"/>
      <c r="I146" s="393">
        <f>SUM(I147:I148)</f>
        <v>593950</v>
      </c>
      <c r="J146" s="393">
        <f t="shared" ref="J146:O146" si="24">SUM(J147:J148)</f>
        <v>0</v>
      </c>
      <c r="K146" s="393">
        <f t="shared" si="24"/>
        <v>0</v>
      </c>
      <c r="L146" s="393">
        <f t="shared" si="24"/>
        <v>0</v>
      </c>
      <c r="M146" s="393">
        <f t="shared" si="24"/>
        <v>0</v>
      </c>
      <c r="N146" s="393">
        <f t="shared" si="24"/>
        <v>0</v>
      </c>
      <c r="O146" s="394">
        <f t="shared" si="24"/>
        <v>593950</v>
      </c>
    </row>
    <row r="147" spans="1:15" s="353" customFormat="1" ht="75" x14ac:dyDescent="0.2">
      <c r="A147" s="346">
        <v>1</v>
      </c>
      <c r="B147" s="347" t="s">
        <v>2187</v>
      </c>
      <c r="C147" s="396" t="s">
        <v>2221</v>
      </c>
      <c r="D147" s="396" t="s">
        <v>2222</v>
      </c>
      <c r="E147" s="350" t="s">
        <v>2223</v>
      </c>
      <c r="F147" s="350" t="s">
        <v>2150</v>
      </c>
      <c r="G147" s="350" t="s">
        <v>2154</v>
      </c>
      <c r="H147" s="351" t="s">
        <v>2431</v>
      </c>
      <c r="I147" s="397">
        <v>250000</v>
      </c>
      <c r="J147" s="397">
        <v>0</v>
      </c>
      <c r="K147" s="397">
        <v>0</v>
      </c>
      <c r="L147" s="397">
        <v>0</v>
      </c>
      <c r="M147" s="397">
        <v>0</v>
      </c>
      <c r="N147" s="398" t="s">
        <v>1786</v>
      </c>
      <c r="O147" s="352">
        <f>+I147-(J147+K147+L147+M147)</f>
        <v>250000</v>
      </c>
    </row>
    <row r="148" spans="1:15" s="353" customFormat="1" ht="131.25" x14ac:dyDescent="0.2">
      <c r="A148" s="346">
        <v>2</v>
      </c>
      <c r="B148" s="347" t="s">
        <v>2151</v>
      </c>
      <c r="C148" s="396" t="s">
        <v>2152</v>
      </c>
      <c r="D148" s="396" t="s">
        <v>2153</v>
      </c>
      <c r="E148" s="350" t="s">
        <v>2224</v>
      </c>
      <c r="F148" s="350" t="s">
        <v>2432</v>
      </c>
      <c r="G148" s="350" t="s">
        <v>2154</v>
      </c>
      <c r="H148" s="351" t="s">
        <v>2433</v>
      </c>
      <c r="I148" s="397">
        <v>343950</v>
      </c>
      <c r="J148" s="397">
        <v>0</v>
      </c>
      <c r="K148" s="397">
        <v>0</v>
      </c>
      <c r="L148" s="397">
        <v>0</v>
      </c>
      <c r="M148" s="397">
        <v>0</v>
      </c>
      <c r="N148" s="398" t="s">
        <v>1786</v>
      </c>
      <c r="O148" s="352">
        <f>+I148-(J148+K148+L148+M148)</f>
        <v>343950</v>
      </c>
    </row>
    <row r="149" spans="1:15" s="365" customFormat="1" ht="19.5" thickBot="1" x14ac:dyDescent="0.45">
      <c r="A149" s="523" t="s">
        <v>1919</v>
      </c>
      <c r="B149" s="523"/>
      <c r="C149" s="523"/>
      <c r="D149" s="523"/>
      <c r="E149" s="523"/>
      <c r="F149" s="523"/>
      <c r="G149" s="523"/>
      <c r="H149" s="523"/>
      <c r="I149" s="400">
        <f>SUM(I8+I14+I16+I18+I40+I45+I74+I81+I85+I95+I116+I124+I131+I135+I138+I144+I146)</f>
        <v>47024090.440000005</v>
      </c>
      <c r="J149" s="400">
        <f t="shared" ref="J149:O149" si="25">SUM(J8+J14+J16+J18+J40+J45+J74+J81+J85+J95+J116+J124+J131+J135+J138+J144+J146)</f>
        <v>638887.42000000004</v>
      </c>
      <c r="K149" s="400">
        <f t="shared" si="25"/>
        <v>638887.42000000004</v>
      </c>
      <c r="L149" s="400">
        <f t="shared" si="25"/>
        <v>985072.31</v>
      </c>
      <c r="M149" s="400">
        <f t="shared" si="25"/>
        <v>985072.31</v>
      </c>
      <c r="N149" s="400">
        <f t="shared" si="25"/>
        <v>0</v>
      </c>
      <c r="O149" s="401">
        <f t="shared" si="25"/>
        <v>43776170.980000004</v>
      </c>
    </row>
    <row r="150" spans="1:15" ht="19.5" thickTop="1" x14ac:dyDescent="0.4"/>
    <row r="151" spans="1:15" ht="21" x14ac:dyDescent="0.45">
      <c r="A151" s="372"/>
      <c r="I151" s="300">
        <v>47024090.439999998</v>
      </c>
      <c r="J151" s="300">
        <v>638887.42000000004</v>
      </c>
      <c r="K151" s="300">
        <v>638887.42000000004</v>
      </c>
      <c r="L151" s="300">
        <v>985072.30999999994</v>
      </c>
      <c r="M151" s="300">
        <v>985072.30999999994</v>
      </c>
      <c r="N151" s="300">
        <v>0</v>
      </c>
      <c r="O151" s="383">
        <v>43776170.980000004</v>
      </c>
    </row>
    <row r="152" spans="1:15" x14ac:dyDescent="0.4">
      <c r="I152" s="373">
        <f>SUM(I149-I151)</f>
        <v>7.4505805969238281E-9</v>
      </c>
      <c r="J152" s="373">
        <f t="shared" ref="J152:O152" si="26">SUM(J149-J151)</f>
        <v>0</v>
      </c>
      <c r="K152" s="373">
        <f t="shared" si="26"/>
        <v>0</v>
      </c>
      <c r="L152" s="373">
        <f t="shared" si="26"/>
        <v>1.1641532182693481E-10</v>
      </c>
      <c r="M152" s="373">
        <f t="shared" si="26"/>
        <v>1.1641532182693481E-10</v>
      </c>
      <c r="N152" s="373">
        <f t="shared" si="26"/>
        <v>0</v>
      </c>
      <c r="O152" s="402">
        <f t="shared" si="26"/>
        <v>0</v>
      </c>
    </row>
    <row r="153" spans="1:15" x14ac:dyDescent="0.4">
      <c r="I153" s="332"/>
    </row>
  </sheetData>
  <mergeCells count="18">
    <mergeCell ref="F6:F7"/>
    <mergeCell ref="G6:G7"/>
    <mergeCell ref="H6:H7"/>
    <mergeCell ref="I6:I7"/>
    <mergeCell ref="J6:K6"/>
    <mergeCell ref="A149:H149"/>
    <mergeCell ref="A1:O1"/>
    <mergeCell ref="A2:O2"/>
    <mergeCell ref="A3:O3"/>
    <mergeCell ref="A5:A7"/>
    <mergeCell ref="B5:I5"/>
    <mergeCell ref="J5:N5"/>
    <mergeCell ref="O5:O7"/>
    <mergeCell ref="B6:B7"/>
    <mergeCell ref="C6:C7"/>
    <mergeCell ref="D6:D7"/>
    <mergeCell ref="L6:N6"/>
    <mergeCell ref="E6:E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workbookViewId="0">
      <selection activeCell="F13" sqref="F13"/>
    </sheetView>
  </sheetViews>
  <sheetFormatPr defaultRowHeight="23.25" x14ac:dyDescent="0.5"/>
  <cols>
    <col min="1" max="1" width="5" style="323" customWidth="1"/>
    <col min="2" max="2" width="37.25" style="323" customWidth="1"/>
    <col min="3" max="3" width="13.75" style="324" customWidth="1"/>
    <col min="4" max="7" width="14.375" style="325" customWidth="1"/>
    <col min="8" max="8" width="12.875" style="325" customWidth="1"/>
    <col min="9" max="9" width="13.75" style="325" customWidth="1"/>
    <col min="10" max="256" width="9" style="325"/>
    <col min="257" max="257" width="5" style="325" customWidth="1"/>
    <col min="258" max="258" width="37.25" style="325" customWidth="1"/>
    <col min="259" max="259" width="13.75" style="325" customWidth="1"/>
    <col min="260" max="263" width="14.375" style="325" customWidth="1"/>
    <col min="264" max="264" width="12.875" style="325" customWidth="1"/>
    <col min="265" max="265" width="13.75" style="325" customWidth="1"/>
    <col min="266" max="512" width="9" style="325"/>
    <col min="513" max="513" width="5" style="325" customWidth="1"/>
    <col min="514" max="514" width="37.25" style="325" customWidth="1"/>
    <col min="515" max="515" width="13.75" style="325" customWidth="1"/>
    <col min="516" max="519" width="14.375" style="325" customWidth="1"/>
    <col min="520" max="520" width="12.875" style="325" customWidth="1"/>
    <col min="521" max="521" width="13.75" style="325" customWidth="1"/>
    <col min="522" max="768" width="9" style="325"/>
    <col min="769" max="769" width="5" style="325" customWidth="1"/>
    <col min="770" max="770" width="37.25" style="325" customWidth="1"/>
    <col min="771" max="771" width="13.75" style="325" customWidth="1"/>
    <col min="772" max="775" width="14.375" style="325" customWidth="1"/>
    <col min="776" max="776" width="12.875" style="325" customWidth="1"/>
    <col min="777" max="777" width="13.75" style="325" customWidth="1"/>
    <col min="778" max="1024" width="9" style="325"/>
    <col min="1025" max="1025" width="5" style="325" customWidth="1"/>
    <col min="1026" max="1026" width="37.25" style="325" customWidth="1"/>
    <col min="1027" max="1027" width="13.75" style="325" customWidth="1"/>
    <col min="1028" max="1031" width="14.375" style="325" customWidth="1"/>
    <col min="1032" max="1032" width="12.875" style="325" customWidth="1"/>
    <col min="1033" max="1033" width="13.75" style="325" customWidth="1"/>
    <col min="1034" max="1280" width="9" style="325"/>
    <col min="1281" max="1281" width="5" style="325" customWidth="1"/>
    <col min="1282" max="1282" width="37.25" style="325" customWidth="1"/>
    <col min="1283" max="1283" width="13.75" style="325" customWidth="1"/>
    <col min="1284" max="1287" width="14.375" style="325" customWidth="1"/>
    <col min="1288" max="1288" width="12.875" style="325" customWidth="1"/>
    <col min="1289" max="1289" width="13.75" style="325" customWidth="1"/>
    <col min="1290" max="1536" width="9" style="325"/>
    <col min="1537" max="1537" width="5" style="325" customWidth="1"/>
    <col min="1538" max="1538" width="37.25" style="325" customWidth="1"/>
    <col min="1539" max="1539" width="13.75" style="325" customWidth="1"/>
    <col min="1540" max="1543" width="14.375" style="325" customWidth="1"/>
    <col min="1544" max="1544" width="12.875" style="325" customWidth="1"/>
    <col min="1545" max="1545" width="13.75" style="325" customWidth="1"/>
    <col min="1546" max="1792" width="9" style="325"/>
    <col min="1793" max="1793" width="5" style="325" customWidth="1"/>
    <col min="1794" max="1794" width="37.25" style="325" customWidth="1"/>
    <col min="1795" max="1795" width="13.75" style="325" customWidth="1"/>
    <col min="1796" max="1799" width="14.375" style="325" customWidth="1"/>
    <col min="1800" max="1800" width="12.875" style="325" customWidth="1"/>
    <col min="1801" max="1801" width="13.75" style="325" customWidth="1"/>
    <col min="1802" max="2048" width="9" style="325"/>
    <col min="2049" max="2049" width="5" style="325" customWidth="1"/>
    <col min="2050" max="2050" width="37.25" style="325" customWidth="1"/>
    <col min="2051" max="2051" width="13.75" style="325" customWidth="1"/>
    <col min="2052" max="2055" width="14.375" style="325" customWidth="1"/>
    <col min="2056" max="2056" width="12.875" style="325" customWidth="1"/>
    <col min="2057" max="2057" width="13.75" style="325" customWidth="1"/>
    <col min="2058" max="2304" width="9" style="325"/>
    <col min="2305" max="2305" width="5" style="325" customWidth="1"/>
    <col min="2306" max="2306" width="37.25" style="325" customWidth="1"/>
    <col min="2307" max="2307" width="13.75" style="325" customWidth="1"/>
    <col min="2308" max="2311" width="14.375" style="325" customWidth="1"/>
    <col min="2312" max="2312" width="12.875" style="325" customWidth="1"/>
    <col min="2313" max="2313" width="13.75" style="325" customWidth="1"/>
    <col min="2314" max="2560" width="9" style="325"/>
    <col min="2561" max="2561" width="5" style="325" customWidth="1"/>
    <col min="2562" max="2562" width="37.25" style="325" customWidth="1"/>
    <col min="2563" max="2563" width="13.75" style="325" customWidth="1"/>
    <col min="2564" max="2567" width="14.375" style="325" customWidth="1"/>
    <col min="2568" max="2568" width="12.875" style="325" customWidth="1"/>
    <col min="2569" max="2569" width="13.75" style="325" customWidth="1"/>
    <col min="2570" max="2816" width="9" style="325"/>
    <col min="2817" max="2817" width="5" style="325" customWidth="1"/>
    <col min="2818" max="2818" width="37.25" style="325" customWidth="1"/>
    <col min="2819" max="2819" width="13.75" style="325" customWidth="1"/>
    <col min="2820" max="2823" width="14.375" style="325" customWidth="1"/>
    <col min="2824" max="2824" width="12.875" style="325" customWidth="1"/>
    <col min="2825" max="2825" width="13.75" style="325" customWidth="1"/>
    <col min="2826" max="3072" width="9" style="325"/>
    <col min="3073" max="3073" width="5" style="325" customWidth="1"/>
    <col min="3074" max="3074" width="37.25" style="325" customWidth="1"/>
    <col min="3075" max="3075" width="13.75" style="325" customWidth="1"/>
    <col min="3076" max="3079" width="14.375" style="325" customWidth="1"/>
    <col min="3080" max="3080" width="12.875" style="325" customWidth="1"/>
    <col min="3081" max="3081" width="13.75" style="325" customWidth="1"/>
    <col min="3082" max="3328" width="9" style="325"/>
    <col min="3329" max="3329" width="5" style="325" customWidth="1"/>
    <col min="3330" max="3330" width="37.25" style="325" customWidth="1"/>
    <col min="3331" max="3331" width="13.75" style="325" customWidth="1"/>
    <col min="3332" max="3335" width="14.375" style="325" customWidth="1"/>
    <col min="3336" max="3336" width="12.875" style="325" customWidth="1"/>
    <col min="3337" max="3337" width="13.75" style="325" customWidth="1"/>
    <col min="3338" max="3584" width="9" style="325"/>
    <col min="3585" max="3585" width="5" style="325" customWidth="1"/>
    <col min="3586" max="3586" width="37.25" style="325" customWidth="1"/>
    <col min="3587" max="3587" width="13.75" style="325" customWidth="1"/>
    <col min="3588" max="3591" width="14.375" style="325" customWidth="1"/>
    <col min="3592" max="3592" width="12.875" style="325" customWidth="1"/>
    <col min="3593" max="3593" width="13.75" style="325" customWidth="1"/>
    <col min="3594" max="3840" width="9" style="325"/>
    <col min="3841" max="3841" width="5" style="325" customWidth="1"/>
    <col min="3842" max="3842" width="37.25" style="325" customWidth="1"/>
    <col min="3843" max="3843" width="13.75" style="325" customWidth="1"/>
    <col min="3844" max="3847" width="14.375" style="325" customWidth="1"/>
    <col min="3848" max="3848" width="12.875" style="325" customWidth="1"/>
    <col min="3849" max="3849" width="13.75" style="325" customWidth="1"/>
    <col min="3850" max="4096" width="9" style="325"/>
    <col min="4097" max="4097" width="5" style="325" customWidth="1"/>
    <col min="4098" max="4098" width="37.25" style="325" customWidth="1"/>
    <col min="4099" max="4099" width="13.75" style="325" customWidth="1"/>
    <col min="4100" max="4103" width="14.375" style="325" customWidth="1"/>
    <col min="4104" max="4104" width="12.875" style="325" customWidth="1"/>
    <col min="4105" max="4105" width="13.75" style="325" customWidth="1"/>
    <col min="4106" max="4352" width="9" style="325"/>
    <col min="4353" max="4353" width="5" style="325" customWidth="1"/>
    <col min="4354" max="4354" width="37.25" style="325" customWidth="1"/>
    <col min="4355" max="4355" width="13.75" style="325" customWidth="1"/>
    <col min="4356" max="4359" width="14.375" style="325" customWidth="1"/>
    <col min="4360" max="4360" width="12.875" style="325" customWidth="1"/>
    <col min="4361" max="4361" width="13.75" style="325" customWidth="1"/>
    <col min="4362" max="4608" width="9" style="325"/>
    <col min="4609" max="4609" width="5" style="325" customWidth="1"/>
    <col min="4610" max="4610" width="37.25" style="325" customWidth="1"/>
    <col min="4611" max="4611" width="13.75" style="325" customWidth="1"/>
    <col min="4612" max="4615" width="14.375" style="325" customWidth="1"/>
    <col min="4616" max="4616" width="12.875" style="325" customWidth="1"/>
    <col min="4617" max="4617" width="13.75" style="325" customWidth="1"/>
    <col min="4618" max="4864" width="9" style="325"/>
    <col min="4865" max="4865" width="5" style="325" customWidth="1"/>
    <col min="4866" max="4866" width="37.25" style="325" customWidth="1"/>
    <col min="4867" max="4867" width="13.75" style="325" customWidth="1"/>
    <col min="4868" max="4871" width="14.375" style="325" customWidth="1"/>
    <col min="4872" max="4872" width="12.875" style="325" customWidth="1"/>
    <col min="4873" max="4873" width="13.75" style="325" customWidth="1"/>
    <col min="4874" max="5120" width="9" style="325"/>
    <col min="5121" max="5121" width="5" style="325" customWidth="1"/>
    <col min="5122" max="5122" width="37.25" style="325" customWidth="1"/>
    <col min="5123" max="5123" width="13.75" style="325" customWidth="1"/>
    <col min="5124" max="5127" width="14.375" style="325" customWidth="1"/>
    <col min="5128" max="5128" width="12.875" style="325" customWidth="1"/>
    <col min="5129" max="5129" width="13.75" style="325" customWidth="1"/>
    <col min="5130" max="5376" width="9" style="325"/>
    <col min="5377" max="5377" width="5" style="325" customWidth="1"/>
    <col min="5378" max="5378" width="37.25" style="325" customWidth="1"/>
    <col min="5379" max="5379" width="13.75" style="325" customWidth="1"/>
    <col min="5380" max="5383" width="14.375" style="325" customWidth="1"/>
    <col min="5384" max="5384" width="12.875" style="325" customWidth="1"/>
    <col min="5385" max="5385" width="13.75" style="325" customWidth="1"/>
    <col min="5386" max="5632" width="9" style="325"/>
    <col min="5633" max="5633" width="5" style="325" customWidth="1"/>
    <col min="5634" max="5634" width="37.25" style="325" customWidth="1"/>
    <col min="5635" max="5635" width="13.75" style="325" customWidth="1"/>
    <col min="5636" max="5639" width="14.375" style="325" customWidth="1"/>
    <col min="5640" max="5640" width="12.875" style="325" customWidth="1"/>
    <col min="5641" max="5641" width="13.75" style="325" customWidth="1"/>
    <col min="5642" max="5888" width="9" style="325"/>
    <col min="5889" max="5889" width="5" style="325" customWidth="1"/>
    <col min="5890" max="5890" width="37.25" style="325" customWidth="1"/>
    <col min="5891" max="5891" width="13.75" style="325" customWidth="1"/>
    <col min="5892" max="5895" width="14.375" style="325" customWidth="1"/>
    <col min="5896" max="5896" width="12.875" style="325" customWidth="1"/>
    <col min="5897" max="5897" width="13.75" style="325" customWidth="1"/>
    <col min="5898" max="6144" width="9" style="325"/>
    <col min="6145" max="6145" width="5" style="325" customWidth="1"/>
    <col min="6146" max="6146" width="37.25" style="325" customWidth="1"/>
    <col min="6147" max="6147" width="13.75" style="325" customWidth="1"/>
    <col min="6148" max="6151" width="14.375" style="325" customWidth="1"/>
    <col min="6152" max="6152" width="12.875" style="325" customWidth="1"/>
    <col min="6153" max="6153" width="13.75" style="325" customWidth="1"/>
    <col min="6154" max="6400" width="9" style="325"/>
    <col min="6401" max="6401" width="5" style="325" customWidth="1"/>
    <col min="6402" max="6402" width="37.25" style="325" customWidth="1"/>
    <col min="6403" max="6403" width="13.75" style="325" customWidth="1"/>
    <col min="6404" max="6407" width="14.375" style="325" customWidth="1"/>
    <col min="6408" max="6408" width="12.875" style="325" customWidth="1"/>
    <col min="6409" max="6409" width="13.75" style="325" customWidth="1"/>
    <col min="6410" max="6656" width="9" style="325"/>
    <col min="6657" max="6657" width="5" style="325" customWidth="1"/>
    <col min="6658" max="6658" width="37.25" style="325" customWidth="1"/>
    <col min="6659" max="6659" width="13.75" style="325" customWidth="1"/>
    <col min="6660" max="6663" width="14.375" style="325" customWidth="1"/>
    <col min="6664" max="6664" width="12.875" style="325" customWidth="1"/>
    <col min="6665" max="6665" width="13.75" style="325" customWidth="1"/>
    <col min="6666" max="6912" width="9" style="325"/>
    <col min="6913" max="6913" width="5" style="325" customWidth="1"/>
    <col min="6914" max="6914" width="37.25" style="325" customWidth="1"/>
    <col min="6915" max="6915" width="13.75" style="325" customWidth="1"/>
    <col min="6916" max="6919" width="14.375" style="325" customWidth="1"/>
    <col min="6920" max="6920" width="12.875" style="325" customWidth="1"/>
    <col min="6921" max="6921" width="13.75" style="325" customWidth="1"/>
    <col min="6922" max="7168" width="9" style="325"/>
    <col min="7169" max="7169" width="5" style="325" customWidth="1"/>
    <col min="7170" max="7170" width="37.25" style="325" customWidth="1"/>
    <col min="7171" max="7171" width="13.75" style="325" customWidth="1"/>
    <col min="7172" max="7175" width="14.375" style="325" customWidth="1"/>
    <col min="7176" max="7176" width="12.875" style="325" customWidth="1"/>
    <col min="7177" max="7177" width="13.75" style="325" customWidth="1"/>
    <col min="7178" max="7424" width="9" style="325"/>
    <col min="7425" max="7425" width="5" style="325" customWidth="1"/>
    <col min="7426" max="7426" width="37.25" style="325" customWidth="1"/>
    <col min="7427" max="7427" width="13.75" style="325" customWidth="1"/>
    <col min="7428" max="7431" width="14.375" style="325" customWidth="1"/>
    <col min="7432" max="7432" width="12.875" style="325" customWidth="1"/>
    <col min="7433" max="7433" width="13.75" style="325" customWidth="1"/>
    <col min="7434" max="7680" width="9" style="325"/>
    <col min="7681" max="7681" width="5" style="325" customWidth="1"/>
    <col min="7682" max="7682" width="37.25" style="325" customWidth="1"/>
    <col min="7683" max="7683" width="13.75" style="325" customWidth="1"/>
    <col min="7684" max="7687" width="14.375" style="325" customWidth="1"/>
    <col min="7688" max="7688" width="12.875" style="325" customWidth="1"/>
    <col min="7689" max="7689" width="13.75" style="325" customWidth="1"/>
    <col min="7690" max="7936" width="9" style="325"/>
    <col min="7937" max="7937" width="5" style="325" customWidth="1"/>
    <col min="7938" max="7938" width="37.25" style="325" customWidth="1"/>
    <col min="7939" max="7939" width="13.75" style="325" customWidth="1"/>
    <col min="7940" max="7943" width="14.375" style="325" customWidth="1"/>
    <col min="7944" max="7944" width="12.875" style="325" customWidth="1"/>
    <col min="7945" max="7945" width="13.75" style="325" customWidth="1"/>
    <col min="7946" max="8192" width="9" style="325"/>
    <col min="8193" max="8193" width="5" style="325" customWidth="1"/>
    <col min="8194" max="8194" width="37.25" style="325" customWidth="1"/>
    <col min="8195" max="8195" width="13.75" style="325" customWidth="1"/>
    <col min="8196" max="8199" width="14.375" style="325" customWidth="1"/>
    <col min="8200" max="8200" width="12.875" style="325" customWidth="1"/>
    <col min="8201" max="8201" width="13.75" style="325" customWidth="1"/>
    <col min="8202" max="8448" width="9" style="325"/>
    <col min="8449" max="8449" width="5" style="325" customWidth="1"/>
    <col min="8450" max="8450" width="37.25" style="325" customWidth="1"/>
    <col min="8451" max="8451" width="13.75" style="325" customWidth="1"/>
    <col min="8452" max="8455" width="14.375" style="325" customWidth="1"/>
    <col min="8456" max="8456" width="12.875" style="325" customWidth="1"/>
    <col min="8457" max="8457" width="13.75" style="325" customWidth="1"/>
    <col min="8458" max="8704" width="9" style="325"/>
    <col min="8705" max="8705" width="5" style="325" customWidth="1"/>
    <col min="8706" max="8706" width="37.25" style="325" customWidth="1"/>
    <col min="8707" max="8707" width="13.75" style="325" customWidth="1"/>
    <col min="8708" max="8711" width="14.375" style="325" customWidth="1"/>
    <col min="8712" max="8712" width="12.875" style="325" customWidth="1"/>
    <col min="8713" max="8713" width="13.75" style="325" customWidth="1"/>
    <col min="8714" max="8960" width="9" style="325"/>
    <col min="8961" max="8961" width="5" style="325" customWidth="1"/>
    <col min="8962" max="8962" width="37.25" style="325" customWidth="1"/>
    <col min="8963" max="8963" width="13.75" style="325" customWidth="1"/>
    <col min="8964" max="8967" width="14.375" style="325" customWidth="1"/>
    <col min="8968" max="8968" width="12.875" style="325" customWidth="1"/>
    <col min="8969" max="8969" width="13.75" style="325" customWidth="1"/>
    <col min="8970" max="9216" width="9" style="325"/>
    <col min="9217" max="9217" width="5" style="325" customWidth="1"/>
    <col min="9218" max="9218" width="37.25" style="325" customWidth="1"/>
    <col min="9219" max="9219" width="13.75" style="325" customWidth="1"/>
    <col min="9220" max="9223" width="14.375" style="325" customWidth="1"/>
    <col min="9224" max="9224" width="12.875" style="325" customWidth="1"/>
    <col min="9225" max="9225" width="13.75" style="325" customWidth="1"/>
    <col min="9226" max="9472" width="9" style="325"/>
    <col min="9473" max="9473" width="5" style="325" customWidth="1"/>
    <col min="9474" max="9474" width="37.25" style="325" customWidth="1"/>
    <col min="9475" max="9475" width="13.75" style="325" customWidth="1"/>
    <col min="9476" max="9479" width="14.375" style="325" customWidth="1"/>
    <col min="9480" max="9480" width="12.875" style="325" customWidth="1"/>
    <col min="9481" max="9481" width="13.75" style="325" customWidth="1"/>
    <col min="9482" max="9728" width="9" style="325"/>
    <col min="9729" max="9729" width="5" style="325" customWidth="1"/>
    <col min="9730" max="9730" width="37.25" style="325" customWidth="1"/>
    <col min="9731" max="9731" width="13.75" style="325" customWidth="1"/>
    <col min="9732" max="9735" width="14.375" style="325" customWidth="1"/>
    <col min="9736" max="9736" width="12.875" style="325" customWidth="1"/>
    <col min="9737" max="9737" width="13.75" style="325" customWidth="1"/>
    <col min="9738" max="9984" width="9" style="325"/>
    <col min="9985" max="9985" width="5" style="325" customWidth="1"/>
    <col min="9986" max="9986" width="37.25" style="325" customWidth="1"/>
    <col min="9987" max="9987" width="13.75" style="325" customWidth="1"/>
    <col min="9988" max="9991" width="14.375" style="325" customWidth="1"/>
    <col min="9992" max="9992" width="12.875" style="325" customWidth="1"/>
    <col min="9993" max="9993" width="13.75" style="325" customWidth="1"/>
    <col min="9994" max="10240" width="9" style="325"/>
    <col min="10241" max="10241" width="5" style="325" customWidth="1"/>
    <col min="10242" max="10242" width="37.25" style="325" customWidth="1"/>
    <col min="10243" max="10243" width="13.75" style="325" customWidth="1"/>
    <col min="10244" max="10247" width="14.375" style="325" customWidth="1"/>
    <col min="10248" max="10248" width="12.875" style="325" customWidth="1"/>
    <col min="10249" max="10249" width="13.75" style="325" customWidth="1"/>
    <col min="10250" max="10496" width="9" style="325"/>
    <col min="10497" max="10497" width="5" style="325" customWidth="1"/>
    <col min="10498" max="10498" width="37.25" style="325" customWidth="1"/>
    <col min="10499" max="10499" width="13.75" style="325" customWidth="1"/>
    <col min="10500" max="10503" width="14.375" style="325" customWidth="1"/>
    <col min="10504" max="10504" width="12.875" style="325" customWidth="1"/>
    <col min="10505" max="10505" width="13.75" style="325" customWidth="1"/>
    <col min="10506" max="10752" width="9" style="325"/>
    <col min="10753" max="10753" width="5" style="325" customWidth="1"/>
    <col min="10754" max="10754" width="37.25" style="325" customWidth="1"/>
    <col min="10755" max="10755" width="13.75" style="325" customWidth="1"/>
    <col min="10756" max="10759" width="14.375" style="325" customWidth="1"/>
    <col min="10760" max="10760" width="12.875" style="325" customWidth="1"/>
    <col min="10761" max="10761" width="13.75" style="325" customWidth="1"/>
    <col min="10762" max="11008" width="9" style="325"/>
    <col min="11009" max="11009" width="5" style="325" customWidth="1"/>
    <col min="11010" max="11010" width="37.25" style="325" customWidth="1"/>
    <col min="11011" max="11011" width="13.75" style="325" customWidth="1"/>
    <col min="11012" max="11015" width="14.375" style="325" customWidth="1"/>
    <col min="11016" max="11016" width="12.875" style="325" customWidth="1"/>
    <col min="11017" max="11017" width="13.75" style="325" customWidth="1"/>
    <col min="11018" max="11264" width="9" style="325"/>
    <col min="11265" max="11265" width="5" style="325" customWidth="1"/>
    <col min="11266" max="11266" width="37.25" style="325" customWidth="1"/>
    <col min="11267" max="11267" width="13.75" style="325" customWidth="1"/>
    <col min="11268" max="11271" width="14.375" style="325" customWidth="1"/>
    <col min="11272" max="11272" width="12.875" style="325" customWidth="1"/>
    <col min="11273" max="11273" width="13.75" style="325" customWidth="1"/>
    <col min="11274" max="11520" width="9" style="325"/>
    <col min="11521" max="11521" width="5" style="325" customWidth="1"/>
    <col min="11522" max="11522" width="37.25" style="325" customWidth="1"/>
    <col min="11523" max="11523" width="13.75" style="325" customWidth="1"/>
    <col min="11524" max="11527" width="14.375" style="325" customWidth="1"/>
    <col min="11528" max="11528" width="12.875" style="325" customWidth="1"/>
    <col min="11529" max="11529" width="13.75" style="325" customWidth="1"/>
    <col min="11530" max="11776" width="9" style="325"/>
    <col min="11777" max="11777" width="5" style="325" customWidth="1"/>
    <col min="11778" max="11778" width="37.25" style="325" customWidth="1"/>
    <col min="11779" max="11779" width="13.75" style="325" customWidth="1"/>
    <col min="11780" max="11783" width="14.375" style="325" customWidth="1"/>
    <col min="11784" max="11784" width="12.875" style="325" customWidth="1"/>
    <col min="11785" max="11785" width="13.75" style="325" customWidth="1"/>
    <col min="11786" max="12032" width="9" style="325"/>
    <col min="12033" max="12033" width="5" style="325" customWidth="1"/>
    <col min="12034" max="12034" width="37.25" style="325" customWidth="1"/>
    <col min="12035" max="12035" width="13.75" style="325" customWidth="1"/>
    <col min="12036" max="12039" width="14.375" style="325" customWidth="1"/>
    <col min="12040" max="12040" width="12.875" style="325" customWidth="1"/>
    <col min="12041" max="12041" width="13.75" style="325" customWidth="1"/>
    <col min="12042" max="12288" width="9" style="325"/>
    <col min="12289" max="12289" width="5" style="325" customWidth="1"/>
    <col min="12290" max="12290" width="37.25" style="325" customWidth="1"/>
    <col min="12291" max="12291" width="13.75" style="325" customWidth="1"/>
    <col min="12292" max="12295" width="14.375" style="325" customWidth="1"/>
    <col min="12296" max="12296" width="12.875" style="325" customWidth="1"/>
    <col min="12297" max="12297" width="13.75" style="325" customWidth="1"/>
    <col min="12298" max="12544" width="9" style="325"/>
    <col min="12545" max="12545" width="5" style="325" customWidth="1"/>
    <col min="12546" max="12546" width="37.25" style="325" customWidth="1"/>
    <col min="12547" max="12547" width="13.75" style="325" customWidth="1"/>
    <col min="12548" max="12551" width="14.375" style="325" customWidth="1"/>
    <col min="12552" max="12552" width="12.875" style="325" customWidth="1"/>
    <col min="12553" max="12553" width="13.75" style="325" customWidth="1"/>
    <col min="12554" max="12800" width="9" style="325"/>
    <col min="12801" max="12801" width="5" style="325" customWidth="1"/>
    <col min="12802" max="12802" width="37.25" style="325" customWidth="1"/>
    <col min="12803" max="12803" width="13.75" style="325" customWidth="1"/>
    <col min="12804" max="12807" width="14.375" style="325" customWidth="1"/>
    <col min="12808" max="12808" width="12.875" style="325" customWidth="1"/>
    <col min="12809" max="12809" width="13.75" style="325" customWidth="1"/>
    <col min="12810" max="13056" width="9" style="325"/>
    <col min="13057" max="13057" width="5" style="325" customWidth="1"/>
    <col min="13058" max="13058" width="37.25" style="325" customWidth="1"/>
    <col min="13059" max="13059" width="13.75" style="325" customWidth="1"/>
    <col min="13060" max="13063" width="14.375" style="325" customWidth="1"/>
    <col min="13064" max="13064" width="12.875" style="325" customWidth="1"/>
    <col min="13065" max="13065" width="13.75" style="325" customWidth="1"/>
    <col min="13066" max="13312" width="9" style="325"/>
    <col min="13313" max="13313" width="5" style="325" customWidth="1"/>
    <col min="13314" max="13314" width="37.25" style="325" customWidth="1"/>
    <col min="13315" max="13315" width="13.75" style="325" customWidth="1"/>
    <col min="13316" max="13319" width="14.375" style="325" customWidth="1"/>
    <col min="13320" max="13320" width="12.875" style="325" customWidth="1"/>
    <col min="13321" max="13321" width="13.75" style="325" customWidth="1"/>
    <col min="13322" max="13568" width="9" style="325"/>
    <col min="13569" max="13569" width="5" style="325" customWidth="1"/>
    <col min="13570" max="13570" width="37.25" style="325" customWidth="1"/>
    <col min="13571" max="13571" width="13.75" style="325" customWidth="1"/>
    <col min="13572" max="13575" width="14.375" style="325" customWidth="1"/>
    <col min="13576" max="13576" width="12.875" style="325" customWidth="1"/>
    <col min="13577" max="13577" width="13.75" style="325" customWidth="1"/>
    <col min="13578" max="13824" width="9" style="325"/>
    <col min="13825" max="13825" width="5" style="325" customWidth="1"/>
    <col min="13826" max="13826" width="37.25" style="325" customWidth="1"/>
    <col min="13827" max="13827" width="13.75" style="325" customWidth="1"/>
    <col min="13828" max="13831" width="14.375" style="325" customWidth="1"/>
    <col min="13832" max="13832" width="12.875" style="325" customWidth="1"/>
    <col min="13833" max="13833" width="13.75" style="325" customWidth="1"/>
    <col min="13834" max="14080" width="9" style="325"/>
    <col min="14081" max="14081" width="5" style="325" customWidth="1"/>
    <col min="14082" max="14082" width="37.25" style="325" customWidth="1"/>
    <col min="14083" max="14083" width="13.75" style="325" customWidth="1"/>
    <col min="14084" max="14087" width="14.375" style="325" customWidth="1"/>
    <col min="14088" max="14088" width="12.875" style="325" customWidth="1"/>
    <col min="14089" max="14089" width="13.75" style="325" customWidth="1"/>
    <col min="14090" max="14336" width="9" style="325"/>
    <col min="14337" max="14337" width="5" style="325" customWidth="1"/>
    <col min="14338" max="14338" width="37.25" style="325" customWidth="1"/>
    <col min="14339" max="14339" width="13.75" style="325" customWidth="1"/>
    <col min="14340" max="14343" width="14.375" style="325" customWidth="1"/>
    <col min="14344" max="14344" width="12.875" style="325" customWidth="1"/>
    <col min="14345" max="14345" width="13.75" style="325" customWidth="1"/>
    <col min="14346" max="14592" width="9" style="325"/>
    <col min="14593" max="14593" width="5" style="325" customWidth="1"/>
    <col min="14594" max="14594" width="37.25" style="325" customWidth="1"/>
    <col min="14595" max="14595" width="13.75" style="325" customWidth="1"/>
    <col min="14596" max="14599" width="14.375" style="325" customWidth="1"/>
    <col min="14600" max="14600" width="12.875" style="325" customWidth="1"/>
    <col min="14601" max="14601" width="13.75" style="325" customWidth="1"/>
    <col min="14602" max="14848" width="9" style="325"/>
    <col min="14849" max="14849" width="5" style="325" customWidth="1"/>
    <col min="14850" max="14850" width="37.25" style="325" customWidth="1"/>
    <col min="14851" max="14851" width="13.75" style="325" customWidth="1"/>
    <col min="14852" max="14855" width="14.375" style="325" customWidth="1"/>
    <col min="14856" max="14856" width="12.875" style="325" customWidth="1"/>
    <col min="14857" max="14857" width="13.75" style="325" customWidth="1"/>
    <col min="14858" max="15104" width="9" style="325"/>
    <col min="15105" max="15105" width="5" style="325" customWidth="1"/>
    <col min="15106" max="15106" width="37.25" style="325" customWidth="1"/>
    <col min="15107" max="15107" width="13.75" style="325" customWidth="1"/>
    <col min="15108" max="15111" width="14.375" style="325" customWidth="1"/>
    <col min="15112" max="15112" width="12.875" style="325" customWidth="1"/>
    <col min="15113" max="15113" width="13.75" style="325" customWidth="1"/>
    <col min="15114" max="15360" width="9" style="325"/>
    <col min="15361" max="15361" width="5" style="325" customWidth="1"/>
    <col min="15362" max="15362" width="37.25" style="325" customWidth="1"/>
    <col min="15363" max="15363" width="13.75" style="325" customWidth="1"/>
    <col min="15364" max="15367" width="14.375" style="325" customWidth="1"/>
    <col min="15368" max="15368" width="12.875" style="325" customWidth="1"/>
    <col min="15369" max="15369" width="13.75" style="325" customWidth="1"/>
    <col min="15370" max="15616" width="9" style="325"/>
    <col min="15617" max="15617" width="5" style="325" customWidth="1"/>
    <col min="15618" max="15618" width="37.25" style="325" customWidth="1"/>
    <col min="15619" max="15619" width="13.75" style="325" customWidth="1"/>
    <col min="15620" max="15623" width="14.375" style="325" customWidth="1"/>
    <col min="15624" max="15624" width="12.875" style="325" customWidth="1"/>
    <col min="15625" max="15625" width="13.75" style="325" customWidth="1"/>
    <col min="15626" max="15872" width="9" style="325"/>
    <col min="15873" max="15873" width="5" style="325" customWidth="1"/>
    <col min="15874" max="15874" width="37.25" style="325" customWidth="1"/>
    <col min="15875" max="15875" width="13.75" style="325" customWidth="1"/>
    <col min="15876" max="15879" width="14.375" style="325" customWidth="1"/>
    <col min="15880" max="15880" width="12.875" style="325" customWidth="1"/>
    <col min="15881" max="15881" width="13.75" style="325" customWidth="1"/>
    <col min="15882" max="16128" width="9" style="325"/>
    <col min="16129" max="16129" width="5" style="325" customWidth="1"/>
    <col min="16130" max="16130" width="37.25" style="325" customWidth="1"/>
    <col min="16131" max="16131" width="13.75" style="325" customWidth="1"/>
    <col min="16132" max="16135" width="14.375" style="325" customWidth="1"/>
    <col min="16136" max="16136" width="12.875" style="325" customWidth="1"/>
    <col min="16137" max="16137" width="13.75" style="325" customWidth="1"/>
    <col min="16138" max="16384" width="9" style="325"/>
  </cols>
  <sheetData>
    <row r="1" spans="1:10" s="298" customFormat="1" x14ac:dyDescent="0.5">
      <c r="A1" s="496" t="s">
        <v>1913</v>
      </c>
      <c r="B1" s="496"/>
      <c r="C1" s="496"/>
      <c r="D1" s="496"/>
      <c r="E1" s="496"/>
      <c r="F1" s="496"/>
      <c r="G1" s="496"/>
      <c r="H1" s="496"/>
      <c r="I1" s="496"/>
    </row>
    <row r="2" spans="1:10" s="298" customFormat="1" x14ac:dyDescent="0.5">
      <c r="A2" s="496" t="s">
        <v>2125</v>
      </c>
      <c r="B2" s="496"/>
      <c r="C2" s="496"/>
      <c r="D2" s="496"/>
      <c r="E2" s="496"/>
      <c r="F2" s="496"/>
      <c r="G2" s="496"/>
      <c r="H2" s="496"/>
      <c r="I2" s="496"/>
    </row>
    <row r="3" spans="1:10" s="298" customFormat="1" x14ac:dyDescent="0.5">
      <c r="A3" s="496" t="s">
        <v>1914</v>
      </c>
      <c r="B3" s="496"/>
      <c r="C3" s="496"/>
      <c r="D3" s="496"/>
      <c r="E3" s="496"/>
      <c r="F3" s="496"/>
      <c r="G3" s="496"/>
      <c r="H3" s="496"/>
      <c r="I3" s="496"/>
    </row>
    <row r="4" spans="1:10" s="301" customFormat="1" ht="21" x14ac:dyDescent="0.45">
      <c r="A4" s="299"/>
      <c r="B4" s="299"/>
      <c r="C4" s="300"/>
    </row>
    <row r="5" spans="1:10" s="303" customFormat="1" ht="21" x14ac:dyDescent="0.45">
      <c r="A5" s="497" t="s">
        <v>253</v>
      </c>
      <c r="B5" s="497" t="s">
        <v>1915</v>
      </c>
      <c r="C5" s="498" t="s">
        <v>263</v>
      </c>
      <c r="D5" s="499" t="s">
        <v>892</v>
      </c>
      <c r="E5" s="499"/>
      <c r="F5" s="499"/>
      <c r="G5" s="499"/>
      <c r="H5" s="499"/>
      <c r="I5" s="528" t="s">
        <v>256</v>
      </c>
      <c r="J5" s="302"/>
    </row>
    <row r="6" spans="1:10" s="304" customFormat="1" ht="21" x14ac:dyDescent="0.2">
      <c r="A6" s="497"/>
      <c r="B6" s="497"/>
      <c r="C6" s="498"/>
      <c r="D6" s="529" t="s">
        <v>893</v>
      </c>
      <c r="E6" s="529"/>
      <c r="F6" s="530" t="s">
        <v>265</v>
      </c>
      <c r="G6" s="530"/>
      <c r="H6" s="530"/>
      <c r="I6" s="528"/>
    </row>
    <row r="7" spans="1:10" s="303" customFormat="1" ht="54" x14ac:dyDescent="0.45">
      <c r="A7" s="497"/>
      <c r="B7" s="497"/>
      <c r="C7" s="498"/>
      <c r="D7" s="305" t="s">
        <v>1916</v>
      </c>
      <c r="E7" s="305" t="s">
        <v>1917</v>
      </c>
      <c r="F7" s="306" t="s">
        <v>1916</v>
      </c>
      <c r="G7" s="306" t="s">
        <v>1917</v>
      </c>
      <c r="H7" s="306" t="s">
        <v>1918</v>
      </c>
      <c r="I7" s="528"/>
      <c r="J7" s="302"/>
    </row>
    <row r="8" spans="1:10" s="310" customFormat="1" ht="21" x14ac:dyDescent="0.2">
      <c r="A8" s="307">
        <v>1</v>
      </c>
      <c r="B8" s="308" t="s">
        <v>739</v>
      </c>
      <c r="C8" s="309">
        <v>3194375</v>
      </c>
      <c r="D8" s="309">
        <v>0</v>
      </c>
      <c r="E8" s="309">
        <v>0</v>
      </c>
      <c r="F8" s="309">
        <v>81138.25</v>
      </c>
      <c r="G8" s="309">
        <v>81138.25</v>
      </c>
      <c r="H8" s="309">
        <v>0</v>
      </c>
      <c r="I8" s="309">
        <v>3032098.5</v>
      </c>
    </row>
    <row r="9" spans="1:10" s="313" customFormat="1" ht="21" x14ac:dyDescent="0.2">
      <c r="A9" s="311">
        <v>2</v>
      </c>
      <c r="B9" s="308" t="s">
        <v>360</v>
      </c>
      <c r="C9" s="312">
        <v>777219.22</v>
      </c>
      <c r="D9" s="312">
        <v>40000</v>
      </c>
      <c r="E9" s="312">
        <v>40000</v>
      </c>
      <c r="F9" s="312">
        <v>2924.01</v>
      </c>
      <c r="G9" s="312">
        <v>2924.01</v>
      </c>
      <c r="H9" s="312">
        <v>0</v>
      </c>
      <c r="I9" s="312">
        <v>691371.2</v>
      </c>
    </row>
    <row r="10" spans="1:10" s="313" customFormat="1" ht="21" x14ac:dyDescent="0.2">
      <c r="A10" s="311">
        <v>3</v>
      </c>
      <c r="B10" s="308" t="s">
        <v>1693</v>
      </c>
      <c r="C10" s="312">
        <v>8462923.2699999996</v>
      </c>
      <c r="D10" s="312">
        <v>241939.98999999996</v>
      </c>
      <c r="E10" s="312">
        <v>241939.98999999996</v>
      </c>
      <c r="F10" s="312">
        <v>289791</v>
      </c>
      <c r="G10" s="312">
        <v>289791</v>
      </c>
      <c r="H10" s="312">
        <v>0</v>
      </c>
      <c r="I10" s="312">
        <v>7399461.29</v>
      </c>
    </row>
    <row r="11" spans="1:10" s="317" customFormat="1" ht="21" x14ac:dyDescent="0.2">
      <c r="A11" s="314">
        <v>4</v>
      </c>
      <c r="B11" s="315" t="s">
        <v>512</v>
      </c>
      <c r="C11" s="316">
        <v>345550</v>
      </c>
      <c r="D11" s="316">
        <v>1677.5</v>
      </c>
      <c r="E11" s="316">
        <v>1677.5</v>
      </c>
      <c r="F11" s="316">
        <v>0</v>
      </c>
      <c r="G11" s="316">
        <v>0</v>
      </c>
      <c r="H11" s="316">
        <v>0</v>
      </c>
      <c r="I11" s="316">
        <v>342195</v>
      </c>
    </row>
    <row r="12" spans="1:10" s="313" customFormat="1" ht="21" x14ac:dyDescent="0.2">
      <c r="A12" s="307">
        <v>5</v>
      </c>
      <c r="B12" s="308" t="s">
        <v>22</v>
      </c>
      <c r="C12" s="312">
        <v>5687959</v>
      </c>
      <c r="D12" s="312">
        <v>97970</v>
      </c>
      <c r="E12" s="312">
        <v>97970</v>
      </c>
      <c r="F12" s="312">
        <v>51225</v>
      </c>
      <c r="G12" s="312">
        <v>51225</v>
      </c>
      <c r="H12" s="312">
        <v>0</v>
      </c>
      <c r="I12" s="312">
        <v>5389569</v>
      </c>
    </row>
    <row r="13" spans="1:10" s="313" customFormat="1" ht="21" x14ac:dyDescent="0.2">
      <c r="A13" s="311">
        <v>6</v>
      </c>
      <c r="B13" s="308" t="s">
        <v>1229</v>
      </c>
      <c r="C13" s="312">
        <v>321658</v>
      </c>
      <c r="D13" s="312">
        <v>0</v>
      </c>
      <c r="E13" s="312">
        <v>0</v>
      </c>
      <c r="F13" s="312">
        <v>0</v>
      </c>
      <c r="G13" s="312">
        <v>0</v>
      </c>
      <c r="H13" s="312">
        <v>0</v>
      </c>
      <c r="I13" s="312">
        <v>321658</v>
      </c>
    </row>
    <row r="14" spans="1:10" s="313" customFormat="1" ht="21" x14ac:dyDescent="0.2">
      <c r="A14" s="311">
        <v>7</v>
      </c>
      <c r="B14" s="308" t="s">
        <v>308</v>
      </c>
      <c r="C14" s="312">
        <v>1217800</v>
      </c>
      <c r="D14" s="312">
        <v>15105</v>
      </c>
      <c r="E14" s="312">
        <v>15105</v>
      </c>
      <c r="F14" s="312">
        <v>0</v>
      </c>
      <c r="G14" s="312">
        <v>0</v>
      </c>
      <c r="H14" s="312">
        <v>0</v>
      </c>
      <c r="I14" s="312">
        <v>1187590</v>
      </c>
    </row>
    <row r="15" spans="1:10" s="317" customFormat="1" ht="21" x14ac:dyDescent="0.2">
      <c r="A15" s="314">
        <v>8</v>
      </c>
      <c r="B15" s="315" t="s">
        <v>19</v>
      </c>
      <c r="C15" s="316">
        <v>5890279.04</v>
      </c>
      <c r="D15" s="316">
        <v>360146.95</v>
      </c>
      <c r="E15" s="316">
        <v>360146.95</v>
      </c>
      <c r="F15" s="316">
        <v>0</v>
      </c>
      <c r="G15" s="316">
        <v>0</v>
      </c>
      <c r="H15" s="316">
        <v>0</v>
      </c>
      <c r="I15" s="316">
        <v>5169985.1400000006</v>
      </c>
    </row>
    <row r="16" spans="1:10" s="313" customFormat="1" ht="21" x14ac:dyDescent="0.2">
      <c r="A16" s="307">
        <v>9</v>
      </c>
      <c r="B16" s="308" t="s">
        <v>1067</v>
      </c>
      <c r="C16" s="312">
        <v>4608282</v>
      </c>
      <c r="D16" s="312">
        <v>298486</v>
      </c>
      <c r="E16" s="312">
        <v>298486</v>
      </c>
      <c r="F16" s="312">
        <v>0</v>
      </c>
      <c r="G16" s="312">
        <v>0</v>
      </c>
      <c r="H16" s="312">
        <v>0</v>
      </c>
      <c r="I16" s="312">
        <v>4011310</v>
      </c>
    </row>
    <row r="17" spans="1:9" s="317" customFormat="1" ht="21" x14ac:dyDescent="0.2">
      <c r="A17" s="311">
        <v>10</v>
      </c>
      <c r="B17" s="315" t="s">
        <v>706</v>
      </c>
      <c r="C17" s="316">
        <v>2115946</v>
      </c>
      <c r="D17" s="316">
        <v>0</v>
      </c>
      <c r="E17" s="316">
        <v>0</v>
      </c>
      <c r="F17" s="316">
        <v>35745.504999999997</v>
      </c>
      <c r="G17" s="316">
        <v>35745.495000000003</v>
      </c>
      <c r="H17" s="316">
        <v>0</v>
      </c>
      <c r="I17" s="316">
        <v>2044455</v>
      </c>
    </row>
    <row r="18" spans="1:9" s="313" customFormat="1" ht="21" x14ac:dyDescent="0.2">
      <c r="A18" s="311">
        <v>11</v>
      </c>
      <c r="B18" s="308" t="s">
        <v>152</v>
      </c>
      <c r="C18" s="312">
        <v>2703220</v>
      </c>
      <c r="D18" s="312">
        <v>80000</v>
      </c>
      <c r="E18" s="312">
        <v>80000</v>
      </c>
      <c r="F18" s="312">
        <v>0</v>
      </c>
      <c r="G18" s="312">
        <v>0</v>
      </c>
      <c r="H18" s="312">
        <v>0</v>
      </c>
      <c r="I18" s="312">
        <v>2543220</v>
      </c>
    </row>
    <row r="19" spans="1:9" s="317" customFormat="1" ht="21" x14ac:dyDescent="0.2">
      <c r="A19" s="314">
        <v>12</v>
      </c>
      <c r="B19" s="315" t="s">
        <v>283</v>
      </c>
      <c r="C19" s="316">
        <v>366582</v>
      </c>
      <c r="D19" s="316">
        <v>29326.560000000001</v>
      </c>
      <c r="E19" s="316">
        <v>29326.560000000001</v>
      </c>
      <c r="F19" s="316">
        <v>0</v>
      </c>
      <c r="G19" s="316">
        <v>0</v>
      </c>
      <c r="H19" s="316">
        <v>0</v>
      </c>
      <c r="I19" s="316">
        <v>307928.88</v>
      </c>
    </row>
    <row r="20" spans="1:9" s="313" customFormat="1" ht="21" x14ac:dyDescent="0.2">
      <c r="A20" s="307">
        <v>13</v>
      </c>
      <c r="B20" s="308" t="s">
        <v>1904</v>
      </c>
      <c r="C20" s="312">
        <v>922108</v>
      </c>
      <c r="D20" s="312">
        <v>46105.4</v>
      </c>
      <c r="E20" s="312">
        <v>46105.4</v>
      </c>
      <c r="F20" s="312">
        <v>0</v>
      </c>
      <c r="G20" s="312">
        <v>0</v>
      </c>
      <c r="H20" s="312">
        <v>0</v>
      </c>
      <c r="I20" s="312">
        <v>829897.2</v>
      </c>
    </row>
    <row r="21" spans="1:9" s="322" customFormat="1" ht="21.75" thickBot="1" x14ac:dyDescent="0.5">
      <c r="A21" s="494" t="s">
        <v>1919</v>
      </c>
      <c r="B21" s="495"/>
      <c r="C21" s="318">
        <f t="shared" ref="C21:I21" si="0">SUM(C8+C9+C10+C11+C12+C13+C14+C15+C16+C17+C18+C19+C20)</f>
        <v>36613901.530000001</v>
      </c>
      <c r="D21" s="319">
        <f t="shared" si="0"/>
        <v>1210757.3999999999</v>
      </c>
      <c r="E21" s="319">
        <f t="shared" si="0"/>
        <v>1210757.3999999999</v>
      </c>
      <c r="F21" s="320">
        <f t="shared" si="0"/>
        <v>460823.76500000001</v>
      </c>
      <c r="G21" s="320">
        <f t="shared" si="0"/>
        <v>460823.755</v>
      </c>
      <c r="H21" s="320">
        <f t="shared" si="0"/>
        <v>0</v>
      </c>
      <c r="I21" s="321">
        <f t="shared" si="0"/>
        <v>33270739.210000001</v>
      </c>
    </row>
    <row r="22" spans="1:9" ht="24" thickTop="1" x14ac:dyDescent="0.5"/>
    <row r="26" spans="1:9" x14ac:dyDescent="0.5">
      <c r="D26" s="324"/>
      <c r="E26" s="324"/>
      <c r="F26" s="324"/>
      <c r="G26" s="324"/>
      <c r="H26" s="324"/>
      <c r="I26" s="324"/>
    </row>
    <row r="27" spans="1:9" x14ac:dyDescent="0.5">
      <c r="D27" s="324"/>
      <c r="E27" s="324"/>
      <c r="F27" s="324"/>
      <c r="G27" s="324"/>
      <c r="H27" s="324"/>
      <c r="I27" s="324"/>
    </row>
    <row r="47" spans="2:10" x14ac:dyDescent="0.5">
      <c r="B47" s="326"/>
      <c r="C47" s="526"/>
      <c r="D47" s="526"/>
      <c r="E47" s="526"/>
      <c r="F47" s="527"/>
      <c r="G47" s="527"/>
      <c r="H47" s="527"/>
      <c r="I47" s="527"/>
      <c r="J47" s="327"/>
    </row>
    <row r="48" spans="2:10" x14ac:dyDescent="0.5">
      <c r="B48" s="326"/>
      <c r="C48" s="526"/>
      <c r="D48" s="526"/>
      <c r="E48" s="526"/>
      <c r="F48" s="527"/>
      <c r="G48" s="527"/>
      <c r="H48" s="527"/>
      <c r="I48" s="527"/>
      <c r="J48" s="327"/>
    </row>
    <row r="49" spans="2:10" x14ac:dyDescent="0.5">
      <c r="B49" s="326"/>
      <c r="C49" s="526"/>
      <c r="D49" s="526"/>
      <c r="E49" s="526"/>
      <c r="F49" s="527"/>
      <c r="G49" s="527"/>
      <c r="H49" s="527"/>
      <c r="I49" s="527"/>
      <c r="J49" s="327"/>
    </row>
  </sheetData>
  <mergeCells count="17">
    <mergeCell ref="A1:I1"/>
    <mergeCell ref="A2:I2"/>
    <mergeCell ref="A3:I3"/>
    <mergeCell ref="A5:A7"/>
    <mergeCell ref="B5:B7"/>
    <mergeCell ref="C5:C7"/>
    <mergeCell ref="D5:H5"/>
    <mergeCell ref="I5:I7"/>
    <mergeCell ref="D6:E6"/>
    <mergeCell ref="F6:H6"/>
    <mergeCell ref="C48:E48"/>
    <mergeCell ref="F48:I48"/>
    <mergeCell ref="C49:E49"/>
    <mergeCell ref="F49:I49"/>
    <mergeCell ref="A21:B21"/>
    <mergeCell ref="C47:E47"/>
    <mergeCell ref="F47:I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68"/>
  <sheetViews>
    <sheetView topLeftCell="A137" workbookViewId="0">
      <selection activeCell="A3" sqref="A3:O3"/>
    </sheetView>
  </sheetViews>
  <sheetFormatPr defaultRowHeight="18.75" x14ac:dyDescent="0.4"/>
  <cols>
    <col min="1" max="1" width="4.625" style="366" customWidth="1"/>
    <col min="2" max="2" width="9.125" style="367" customWidth="1"/>
    <col min="3" max="3" width="10.625" style="366" customWidth="1"/>
    <col min="4" max="4" width="16.625" style="366" customWidth="1"/>
    <col min="5" max="5" width="22.625" style="368" customWidth="1"/>
    <col min="6" max="7" width="17.125" style="332" customWidth="1"/>
    <col min="8" max="8" width="28.125" style="332" customWidth="1"/>
    <col min="9" max="9" width="12.625" style="369" customWidth="1"/>
    <col min="10" max="13" width="11.625" style="328" customWidth="1"/>
    <col min="14" max="14" width="9.625" style="328" customWidth="1"/>
    <col min="15" max="15" width="11.625" style="328" customWidth="1"/>
    <col min="16" max="256" width="9" style="328"/>
    <col min="257" max="257" width="4.625" style="328" customWidth="1"/>
    <col min="258" max="258" width="9.125" style="328" customWidth="1"/>
    <col min="259" max="259" width="10.625" style="328" customWidth="1"/>
    <col min="260" max="260" width="16.625" style="328" customWidth="1"/>
    <col min="261" max="261" width="22.625" style="328" customWidth="1"/>
    <col min="262" max="263" width="17.125" style="328" customWidth="1"/>
    <col min="264" max="264" width="28.125" style="328" customWidth="1"/>
    <col min="265" max="265" width="12.625" style="328" customWidth="1"/>
    <col min="266" max="269" width="11.625" style="328" customWidth="1"/>
    <col min="270" max="270" width="9.625" style="328" customWidth="1"/>
    <col min="271" max="271" width="11.625" style="328" customWidth="1"/>
    <col min="272" max="512" width="9" style="328"/>
    <col min="513" max="513" width="4.625" style="328" customWidth="1"/>
    <col min="514" max="514" width="9.125" style="328" customWidth="1"/>
    <col min="515" max="515" width="10.625" style="328" customWidth="1"/>
    <col min="516" max="516" width="16.625" style="328" customWidth="1"/>
    <col min="517" max="517" width="22.625" style="328" customWidth="1"/>
    <col min="518" max="519" width="17.125" style="328" customWidth="1"/>
    <col min="520" max="520" width="28.125" style="328" customWidth="1"/>
    <col min="521" max="521" width="12.625" style="328" customWidth="1"/>
    <col min="522" max="525" width="11.625" style="328" customWidth="1"/>
    <col min="526" max="526" width="9.625" style="328" customWidth="1"/>
    <col min="527" max="527" width="11.625" style="328" customWidth="1"/>
    <col min="528" max="768" width="9" style="328"/>
    <col min="769" max="769" width="4.625" style="328" customWidth="1"/>
    <col min="770" max="770" width="9.125" style="328" customWidth="1"/>
    <col min="771" max="771" width="10.625" style="328" customWidth="1"/>
    <col min="772" max="772" width="16.625" style="328" customWidth="1"/>
    <col min="773" max="773" width="22.625" style="328" customWidth="1"/>
    <col min="774" max="775" width="17.125" style="328" customWidth="1"/>
    <col min="776" max="776" width="28.125" style="328" customWidth="1"/>
    <col min="777" max="777" width="12.625" style="328" customWidth="1"/>
    <col min="778" max="781" width="11.625" style="328" customWidth="1"/>
    <col min="782" max="782" width="9.625" style="328" customWidth="1"/>
    <col min="783" max="783" width="11.625" style="328" customWidth="1"/>
    <col min="784" max="1024" width="9" style="328"/>
    <col min="1025" max="1025" width="4.625" style="328" customWidth="1"/>
    <col min="1026" max="1026" width="9.125" style="328" customWidth="1"/>
    <col min="1027" max="1027" width="10.625" style="328" customWidth="1"/>
    <col min="1028" max="1028" width="16.625" style="328" customWidth="1"/>
    <col min="1029" max="1029" width="22.625" style="328" customWidth="1"/>
    <col min="1030" max="1031" width="17.125" style="328" customWidth="1"/>
    <col min="1032" max="1032" width="28.125" style="328" customWidth="1"/>
    <col min="1033" max="1033" width="12.625" style="328" customWidth="1"/>
    <col min="1034" max="1037" width="11.625" style="328" customWidth="1"/>
    <col min="1038" max="1038" width="9.625" style="328" customWidth="1"/>
    <col min="1039" max="1039" width="11.625" style="328" customWidth="1"/>
    <col min="1040" max="1280" width="9" style="328"/>
    <col min="1281" max="1281" width="4.625" style="328" customWidth="1"/>
    <col min="1282" max="1282" width="9.125" style="328" customWidth="1"/>
    <col min="1283" max="1283" width="10.625" style="328" customWidth="1"/>
    <col min="1284" max="1284" width="16.625" style="328" customWidth="1"/>
    <col min="1285" max="1285" width="22.625" style="328" customWidth="1"/>
    <col min="1286" max="1287" width="17.125" style="328" customWidth="1"/>
    <col min="1288" max="1288" width="28.125" style="328" customWidth="1"/>
    <col min="1289" max="1289" width="12.625" style="328" customWidth="1"/>
    <col min="1290" max="1293" width="11.625" style="328" customWidth="1"/>
    <col min="1294" max="1294" width="9.625" style="328" customWidth="1"/>
    <col min="1295" max="1295" width="11.625" style="328" customWidth="1"/>
    <col min="1296" max="1536" width="9" style="328"/>
    <col min="1537" max="1537" width="4.625" style="328" customWidth="1"/>
    <col min="1538" max="1538" width="9.125" style="328" customWidth="1"/>
    <col min="1539" max="1539" width="10.625" style="328" customWidth="1"/>
    <col min="1540" max="1540" width="16.625" style="328" customWidth="1"/>
    <col min="1541" max="1541" width="22.625" style="328" customWidth="1"/>
    <col min="1542" max="1543" width="17.125" style="328" customWidth="1"/>
    <col min="1544" max="1544" width="28.125" style="328" customWidth="1"/>
    <col min="1545" max="1545" width="12.625" style="328" customWidth="1"/>
    <col min="1546" max="1549" width="11.625" style="328" customWidth="1"/>
    <col min="1550" max="1550" width="9.625" style="328" customWidth="1"/>
    <col min="1551" max="1551" width="11.625" style="328" customWidth="1"/>
    <col min="1552" max="1792" width="9" style="328"/>
    <col min="1793" max="1793" width="4.625" style="328" customWidth="1"/>
    <col min="1794" max="1794" width="9.125" style="328" customWidth="1"/>
    <col min="1795" max="1795" width="10.625" style="328" customWidth="1"/>
    <col min="1796" max="1796" width="16.625" style="328" customWidth="1"/>
    <col min="1797" max="1797" width="22.625" style="328" customWidth="1"/>
    <col min="1798" max="1799" width="17.125" style="328" customWidth="1"/>
    <col min="1800" max="1800" width="28.125" style="328" customWidth="1"/>
    <col min="1801" max="1801" width="12.625" style="328" customWidth="1"/>
    <col min="1802" max="1805" width="11.625" style="328" customWidth="1"/>
    <col min="1806" max="1806" width="9.625" style="328" customWidth="1"/>
    <col min="1807" max="1807" width="11.625" style="328" customWidth="1"/>
    <col min="1808" max="2048" width="9" style="328"/>
    <col min="2049" max="2049" width="4.625" style="328" customWidth="1"/>
    <col min="2050" max="2050" width="9.125" style="328" customWidth="1"/>
    <col min="2051" max="2051" width="10.625" style="328" customWidth="1"/>
    <col min="2052" max="2052" width="16.625" style="328" customWidth="1"/>
    <col min="2053" max="2053" width="22.625" style="328" customWidth="1"/>
    <col min="2054" max="2055" width="17.125" style="328" customWidth="1"/>
    <col min="2056" max="2056" width="28.125" style="328" customWidth="1"/>
    <col min="2057" max="2057" width="12.625" style="328" customWidth="1"/>
    <col min="2058" max="2061" width="11.625" style="328" customWidth="1"/>
    <col min="2062" max="2062" width="9.625" style="328" customWidth="1"/>
    <col min="2063" max="2063" width="11.625" style="328" customWidth="1"/>
    <col min="2064" max="2304" width="9" style="328"/>
    <col min="2305" max="2305" width="4.625" style="328" customWidth="1"/>
    <col min="2306" max="2306" width="9.125" style="328" customWidth="1"/>
    <col min="2307" max="2307" width="10.625" style="328" customWidth="1"/>
    <col min="2308" max="2308" width="16.625" style="328" customWidth="1"/>
    <col min="2309" max="2309" width="22.625" style="328" customWidth="1"/>
    <col min="2310" max="2311" width="17.125" style="328" customWidth="1"/>
    <col min="2312" max="2312" width="28.125" style="328" customWidth="1"/>
    <col min="2313" max="2313" width="12.625" style="328" customWidth="1"/>
    <col min="2314" max="2317" width="11.625" style="328" customWidth="1"/>
    <col min="2318" max="2318" width="9.625" style="328" customWidth="1"/>
    <col min="2319" max="2319" width="11.625" style="328" customWidth="1"/>
    <col min="2320" max="2560" width="9" style="328"/>
    <col min="2561" max="2561" width="4.625" style="328" customWidth="1"/>
    <col min="2562" max="2562" width="9.125" style="328" customWidth="1"/>
    <col min="2563" max="2563" width="10.625" style="328" customWidth="1"/>
    <col min="2564" max="2564" width="16.625" style="328" customWidth="1"/>
    <col min="2565" max="2565" width="22.625" style="328" customWidth="1"/>
    <col min="2566" max="2567" width="17.125" style="328" customWidth="1"/>
    <col min="2568" max="2568" width="28.125" style="328" customWidth="1"/>
    <col min="2569" max="2569" width="12.625" style="328" customWidth="1"/>
    <col min="2570" max="2573" width="11.625" style="328" customWidth="1"/>
    <col min="2574" max="2574" width="9.625" style="328" customWidth="1"/>
    <col min="2575" max="2575" width="11.625" style="328" customWidth="1"/>
    <col min="2576" max="2816" width="9" style="328"/>
    <col min="2817" max="2817" width="4.625" style="328" customWidth="1"/>
    <col min="2818" max="2818" width="9.125" style="328" customWidth="1"/>
    <col min="2819" max="2819" width="10.625" style="328" customWidth="1"/>
    <col min="2820" max="2820" width="16.625" style="328" customWidth="1"/>
    <col min="2821" max="2821" width="22.625" style="328" customWidth="1"/>
    <col min="2822" max="2823" width="17.125" style="328" customWidth="1"/>
    <col min="2824" max="2824" width="28.125" style="328" customWidth="1"/>
    <col min="2825" max="2825" width="12.625" style="328" customWidth="1"/>
    <col min="2826" max="2829" width="11.625" style="328" customWidth="1"/>
    <col min="2830" max="2830" width="9.625" style="328" customWidth="1"/>
    <col min="2831" max="2831" width="11.625" style="328" customWidth="1"/>
    <col min="2832" max="3072" width="9" style="328"/>
    <col min="3073" max="3073" width="4.625" style="328" customWidth="1"/>
    <col min="3074" max="3074" width="9.125" style="328" customWidth="1"/>
    <col min="3075" max="3075" width="10.625" style="328" customWidth="1"/>
    <col min="3076" max="3076" width="16.625" style="328" customWidth="1"/>
    <col min="3077" max="3077" width="22.625" style="328" customWidth="1"/>
    <col min="3078" max="3079" width="17.125" style="328" customWidth="1"/>
    <col min="3080" max="3080" width="28.125" style="328" customWidth="1"/>
    <col min="3081" max="3081" width="12.625" style="328" customWidth="1"/>
    <col min="3082" max="3085" width="11.625" style="328" customWidth="1"/>
    <col min="3086" max="3086" width="9.625" style="328" customWidth="1"/>
    <col min="3087" max="3087" width="11.625" style="328" customWidth="1"/>
    <col min="3088" max="3328" width="9" style="328"/>
    <col min="3329" max="3329" width="4.625" style="328" customWidth="1"/>
    <col min="3330" max="3330" width="9.125" style="328" customWidth="1"/>
    <col min="3331" max="3331" width="10.625" style="328" customWidth="1"/>
    <col min="3332" max="3332" width="16.625" style="328" customWidth="1"/>
    <col min="3333" max="3333" width="22.625" style="328" customWidth="1"/>
    <col min="3334" max="3335" width="17.125" style="328" customWidth="1"/>
    <col min="3336" max="3336" width="28.125" style="328" customWidth="1"/>
    <col min="3337" max="3337" width="12.625" style="328" customWidth="1"/>
    <col min="3338" max="3341" width="11.625" style="328" customWidth="1"/>
    <col min="3342" max="3342" width="9.625" style="328" customWidth="1"/>
    <col min="3343" max="3343" width="11.625" style="328" customWidth="1"/>
    <col min="3344" max="3584" width="9" style="328"/>
    <col min="3585" max="3585" width="4.625" style="328" customWidth="1"/>
    <col min="3586" max="3586" width="9.125" style="328" customWidth="1"/>
    <col min="3587" max="3587" width="10.625" style="328" customWidth="1"/>
    <col min="3588" max="3588" width="16.625" style="328" customWidth="1"/>
    <col min="3589" max="3589" width="22.625" style="328" customWidth="1"/>
    <col min="3590" max="3591" width="17.125" style="328" customWidth="1"/>
    <col min="3592" max="3592" width="28.125" style="328" customWidth="1"/>
    <col min="3593" max="3593" width="12.625" style="328" customWidth="1"/>
    <col min="3594" max="3597" width="11.625" style="328" customWidth="1"/>
    <col min="3598" max="3598" width="9.625" style="328" customWidth="1"/>
    <col min="3599" max="3599" width="11.625" style="328" customWidth="1"/>
    <col min="3600" max="3840" width="9" style="328"/>
    <col min="3841" max="3841" width="4.625" style="328" customWidth="1"/>
    <col min="3842" max="3842" width="9.125" style="328" customWidth="1"/>
    <col min="3843" max="3843" width="10.625" style="328" customWidth="1"/>
    <col min="3844" max="3844" width="16.625" style="328" customWidth="1"/>
    <col min="3845" max="3845" width="22.625" style="328" customWidth="1"/>
    <col min="3846" max="3847" width="17.125" style="328" customWidth="1"/>
    <col min="3848" max="3848" width="28.125" style="328" customWidth="1"/>
    <col min="3849" max="3849" width="12.625" style="328" customWidth="1"/>
    <col min="3850" max="3853" width="11.625" style="328" customWidth="1"/>
    <col min="3854" max="3854" width="9.625" style="328" customWidth="1"/>
    <col min="3855" max="3855" width="11.625" style="328" customWidth="1"/>
    <col min="3856" max="4096" width="9" style="328"/>
    <col min="4097" max="4097" width="4.625" style="328" customWidth="1"/>
    <col min="4098" max="4098" width="9.125" style="328" customWidth="1"/>
    <col min="4099" max="4099" width="10.625" style="328" customWidth="1"/>
    <col min="4100" max="4100" width="16.625" style="328" customWidth="1"/>
    <col min="4101" max="4101" width="22.625" style="328" customWidth="1"/>
    <col min="4102" max="4103" width="17.125" style="328" customWidth="1"/>
    <col min="4104" max="4104" width="28.125" style="328" customWidth="1"/>
    <col min="4105" max="4105" width="12.625" style="328" customWidth="1"/>
    <col min="4106" max="4109" width="11.625" style="328" customWidth="1"/>
    <col min="4110" max="4110" width="9.625" style="328" customWidth="1"/>
    <col min="4111" max="4111" width="11.625" style="328" customWidth="1"/>
    <col min="4112" max="4352" width="9" style="328"/>
    <col min="4353" max="4353" width="4.625" style="328" customWidth="1"/>
    <col min="4354" max="4354" width="9.125" style="328" customWidth="1"/>
    <col min="4355" max="4355" width="10.625" style="328" customWidth="1"/>
    <col min="4356" max="4356" width="16.625" style="328" customWidth="1"/>
    <col min="4357" max="4357" width="22.625" style="328" customWidth="1"/>
    <col min="4358" max="4359" width="17.125" style="328" customWidth="1"/>
    <col min="4360" max="4360" width="28.125" style="328" customWidth="1"/>
    <col min="4361" max="4361" width="12.625" style="328" customWidth="1"/>
    <col min="4362" max="4365" width="11.625" style="328" customWidth="1"/>
    <col min="4366" max="4366" width="9.625" style="328" customWidth="1"/>
    <col min="4367" max="4367" width="11.625" style="328" customWidth="1"/>
    <col min="4368" max="4608" width="9" style="328"/>
    <col min="4609" max="4609" width="4.625" style="328" customWidth="1"/>
    <col min="4610" max="4610" width="9.125" style="328" customWidth="1"/>
    <col min="4611" max="4611" width="10.625" style="328" customWidth="1"/>
    <col min="4612" max="4612" width="16.625" style="328" customWidth="1"/>
    <col min="4613" max="4613" width="22.625" style="328" customWidth="1"/>
    <col min="4614" max="4615" width="17.125" style="328" customWidth="1"/>
    <col min="4616" max="4616" width="28.125" style="328" customWidth="1"/>
    <col min="4617" max="4617" width="12.625" style="328" customWidth="1"/>
    <col min="4618" max="4621" width="11.625" style="328" customWidth="1"/>
    <col min="4622" max="4622" width="9.625" style="328" customWidth="1"/>
    <col min="4623" max="4623" width="11.625" style="328" customWidth="1"/>
    <col min="4624" max="4864" width="9" style="328"/>
    <col min="4865" max="4865" width="4.625" style="328" customWidth="1"/>
    <col min="4866" max="4866" width="9.125" style="328" customWidth="1"/>
    <col min="4867" max="4867" width="10.625" style="328" customWidth="1"/>
    <col min="4868" max="4868" width="16.625" style="328" customWidth="1"/>
    <col min="4869" max="4869" width="22.625" style="328" customWidth="1"/>
    <col min="4870" max="4871" width="17.125" style="328" customWidth="1"/>
    <col min="4872" max="4872" width="28.125" style="328" customWidth="1"/>
    <col min="4873" max="4873" width="12.625" style="328" customWidth="1"/>
    <col min="4874" max="4877" width="11.625" style="328" customWidth="1"/>
    <col min="4878" max="4878" width="9.625" style="328" customWidth="1"/>
    <col min="4879" max="4879" width="11.625" style="328" customWidth="1"/>
    <col min="4880" max="5120" width="9" style="328"/>
    <col min="5121" max="5121" width="4.625" style="328" customWidth="1"/>
    <col min="5122" max="5122" width="9.125" style="328" customWidth="1"/>
    <col min="5123" max="5123" width="10.625" style="328" customWidth="1"/>
    <col min="5124" max="5124" width="16.625" style="328" customWidth="1"/>
    <col min="5125" max="5125" width="22.625" style="328" customWidth="1"/>
    <col min="5126" max="5127" width="17.125" style="328" customWidth="1"/>
    <col min="5128" max="5128" width="28.125" style="328" customWidth="1"/>
    <col min="5129" max="5129" width="12.625" style="328" customWidth="1"/>
    <col min="5130" max="5133" width="11.625" style="328" customWidth="1"/>
    <col min="5134" max="5134" width="9.625" style="328" customWidth="1"/>
    <col min="5135" max="5135" width="11.625" style="328" customWidth="1"/>
    <col min="5136" max="5376" width="9" style="328"/>
    <col min="5377" max="5377" width="4.625" style="328" customWidth="1"/>
    <col min="5378" max="5378" width="9.125" style="328" customWidth="1"/>
    <col min="5379" max="5379" width="10.625" style="328" customWidth="1"/>
    <col min="5380" max="5380" width="16.625" style="328" customWidth="1"/>
    <col min="5381" max="5381" width="22.625" style="328" customWidth="1"/>
    <col min="5382" max="5383" width="17.125" style="328" customWidth="1"/>
    <col min="5384" max="5384" width="28.125" style="328" customWidth="1"/>
    <col min="5385" max="5385" width="12.625" style="328" customWidth="1"/>
    <col min="5386" max="5389" width="11.625" style="328" customWidth="1"/>
    <col min="5390" max="5390" width="9.625" style="328" customWidth="1"/>
    <col min="5391" max="5391" width="11.625" style="328" customWidth="1"/>
    <col min="5392" max="5632" width="9" style="328"/>
    <col min="5633" max="5633" width="4.625" style="328" customWidth="1"/>
    <col min="5634" max="5634" width="9.125" style="328" customWidth="1"/>
    <col min="5635" max="5635" width="10.625" style="328" customWidth="1"/>
    <col min="5636" max="5636" width="16.625" style="328" customWidth="1"/>
    <col min="5637" max="5637" width="22.625" style="328" customWidth="1"/>
    <col min="5638" max="5639" width="17.125" style="328" customWidth="1"/>
    <col min="5640" max="5640" width="28.125" style="328" customWidth="1"/>
    <col min="5641" max="5641" width="12.625" style="328" customWidth="1"/>
    <col min="5642" max="5645" width="11.625" style="328" customWidth="1"/>
    <col min="5646" max="5646" width="9.625" style="328" customWidth="1"/>
    <col min="5647" max="5647" width="11.625" style="328" customWidth="1"/>
    <col min="5648" max="5888" width="9" style="328"/>
    <col min="5889" max="5889" width="4.625" style="328" customWidth="1"/>
    <col min="5890" max="5890" width="9.125" style="328" customWidth="1"/>
    <col min="5891" max="5891" width="10.625" style="328" customWidth="1"/>
    <col min="5892" max="5892" width="16.625" style="328" customWidth="1"/>
    <col min="5893" max="5893" width="22.625" style="328" customWidth="1"/>
    <col min="5894" max="5895" width="17.125" style="328" customWidth="1"/>
    <col min="5896" max="5896" width="28.125" style="328" customWidth="1"/>
    <col min="5897" max="5897" width="12.625" style="328" customWidth="1"/>
    <col min="5898" max="5901" width="11.625" style="328" customWidth="1"/>
    <col min="5902" max="5902" width="9.625" style="328" customWidth="1"/>
    <col min="5903" max="5903" width="11.625" style="328" customWidth="1"/>
    <col min="5904" max="6144" width="9" style="328"/>
    <col min="6145" max="6145" width="4.625" style="328" customWidth="1"/>
    <col min="6146" max="6146" width="9.125" style="328" customWidth="1"/>
    <col min="6147" max="6147" width="10.625" style="328" customWidth="1"/>
    <col min="6148" max="6148" width="16.625" style="328" customWidth="1"/>
    <col min="6149" max="6149" width="22.625" style="328" customWidth="1"/>
    <col min="6150" max="6151" width="17.125" style="328" customWidth="1"/>
    <col min="6152" max="6152" width="28.125" style="328" customWidth="1"/>
    <col min="6153" max="6153" width="12.625" style="328" customWidth="1"/>
    <col min="6154" max="6157" width="11.625" style="328" customWidth="1"/>
    <col min="6158" max="6158" width="9.625" style="328" customWidth="1"/>
    <col min="6159" max="6159" width="11.625" style="328" customWidth="1"/>
    <col min="6160" max="6400" width="9" style="328"/>
    <col min="6401" max="6401" width="4.625" style="328" customWidth="1"/>
    <col min="6402" max="6402" width="9.125" style="328" customWidth="1"/>
    <col min="6403" max="6403" width="10.625" style="328" customWidth="1"/>
    <col min="6404" max="6404" width="16.625" style="328" customWidth="1"/>
    <col min="6405" max="6405" width="22.625" style="328" customWidth="1"/>
    <col min="6406" max="6407" width="17.125" style="328" customWidth="1"/>
    <col min="6408" max="6408" width="28.125" style="328" customWidth="1"/>
    <col min="6409" max="6409" width="12.625" style="328" customWidth="1"/>
    <col min="6410" max="6413" width="11.625" style="328" customWidth="1"/>
    <col min="6414" max="6414" width="9.625" style="328" customWidth="1"/>
    <col min="6415" max="6415" width="11.625" style="328" customWidth="1"/>
    <col min="6416" max="6656" width="9" style="328"/>
    <col min="6657" max="6657" width="4.625" style="328" customWidth="1"/>
    <col min="6658" max="6658" width="9.125" style="328" customWidth="1"/>
    <col min="6659" max="6659" width="10.625" style="328" customWidth="1"/>
    <col min="6660" max="6660" width="16.625" style="328" customWidth="1"/>
    <col min="6661" max="6661" width="22.625" style="328" customWidth="1"/>
    <col min="6662" max="6663" width="17.125" style="328" customWidth="1"/>
    <col min="6664" max="6664" width="28.125" style="328" customWidth="1"/>
    <col min="6665" max="6665" width="12.625" style="328" customWidth="1"/>
    <col min="6666" max="6669" width="11.625" style="328" customWidth="1"/>
    <col min="6670" max="6670" width="9.625" style="328" customWidth="1"/>
    <col min="6671" max="6671" width="11.625" style="328" customWidth="1"/>
    <col min="6672" max="6912" width="9" style="328"/>
    <col min="6913" max="6913" width="4.625" style="328" customWidth="1"/>
    <col min="6914" max="6914" width="9.125" style="328" customWidth="1"/>
    <col min="6915" max="6915" width="10.625" style="328" customWidth="1"/>
    <col min="6916" max="6916" width="16.625" style="328" customWidth="1"/>
    <col min="6917" max="6917" width="22.625" style="328" customWidth="1"/>
    <col min="6918" max="6919" width="17.125" style="328" customWidth="1"/>
    <col min="6920" max="6920" width="28.125" style="328" customWidth="1"/>
    <col min="6921" max="6921" width="12.625" style="328" customWidth="1"/>
    <col min="6922" max="6925" width="11.625" style="328" customWidth="1"/>
    <col min="6926" max="6926" width="9.625" style="328" customWidth="1"/>
    <col min="6927" max="6927" width="11.625" style="328" customWidth="1"/>
    <col min="6928" max="7168" width="9" style="328"/>
    <col min="7169" max="7169" width="4.625" style="328" customWidth="1"/>
    <col min="7170" max="7170" width="9.125" style="328" customWidth="1"/>
    <col min="7171" max="7171" width="10.625" style="328" customWidth="1"/>
    <col min="7172" max="7172" width="16.625" style="328" customWidth="1"/>
    <col min="7173" max="7173" width="22.625" style="328" customWidth="1"/>
    <col min="7174" max="7175" width="17.125" style="328" customWidth="1"/>
    <col min="7176" max="7176" width="28.125" style="328" customWidth="1"/>
    <col min="7177" max="7177" width="12.625" style="328" customWidth="1"/>
    <col min="7178" max="7181" width="11.625" style="328" customWidth="1"/>
    <col min="7182" max="7182" width="9.625" style="328" customWidth="1"/>
    <col min="7183" max="7183" width="11.625" style="328" customWidth="1"/>
    <col min="7184" max="7424" width="9" style="328"/>
    <col min="7425" max="7425" width="4.625" style="328" customWidth="1"/>
    <col min="7426" max="7426" width="9.125" style="328" customWidth="1"/>
    <col min="7427" max="7427" width="10.625" style="328" customWidth="1"/>
    <col min="7428" max="7428" width="16.625" style="328" customWidth="1"/>
    <col min="7429" max="7429" width="22.625" style="328" customWidth="1"/>
    <col min="7430" max="7431" width="17.125" style="328" customWidth="1"/>
    <col min="7432" max="7432" width="28.125" style="328" customWidth="1"/>
    <col min="7433" max="7433" width="12.625" style="328" customWidth="1"/>
    <col min="7434" max="7437" width="11.625" style="328" customWidth="1"/>
    <col min="7438" max="7438" width="9.625" style="328" customWidth="1"/>
    <col min="7439" max="7439" width="11.625" style="328" customWidth="1"/>
    <col min="7440" max="7680" width="9" style="328"/>
    <col min="7681" max="7681" width="4.625" style="328" customWidth="1"/>
    <col min="7682" max="7682" width="9.125" style="328" customWidth="1"/>
    <col min="7683" max="7683" width="10.625" style="328" customWidth="1"/>
    <col min="7684" max="7684" width="16.625" style="328" customWidth="1"/>
    <col min="7685" max="7685" width="22.625" style="328" customWidth="1"/>
    <col min="7686" max="7687" width="17.125" style="328" customWidth="1"/>
    <col min="7688" max="7688" width="28.125" style="328" customWidth="1"/>
    <col min="7689" max="7689" width="12.625" style="328" customWidth="1"/>
    <col min="7690" max="7693" width="11.625" style="328" customWidth="1"/>
    <col min="7694" max="7694" width="9.625" style="328" customWidth="1"/>
    <col min="7695" max="7695" width="11.625" style="328" customWidth="1"/>
    <col min="7696" max="7936" width="9" style="328"/>
    <col min="7937" max="7937" width="4.625" style="328" customWidth="1"/>
    <col min="7938" max="7938" width="9.125" style="328" customWidth="1"/>
    <col min="7939" max="7939" width="10.625" style="328" customWidth="1"/>
    <col min="7940" max="7940" width="16.625" style="328" customWidth="1"/>
    <col min="7941" max="7941" width="22.625" style="328" customWidth="1"/>
    <col min="7942" max="7943" width="17.125" style="328" customWidth="1"/>
    <col min="7944" max="7944" width="28.125" style="328" customWidth="1"/>
    <col min="7945" max="7945" width="12.625" style="328" customWidth="1"/>
    <col min="7946" max="7949" width="11.625" style="328" customWidth="1"/>
    <col min="7950" max="7950" width="9.625" style="328" customWidth="1"/>
    <col min="7951" max="7951" width="11.625" style="328" customWidth="1"/>
    <col min="7952" max="8192" width="9" style="328"/>
    <col min="8193" max="8193" width="4.625" style="328" customWidth="1"/>
    <col min="8194" max="8194" width="9.125" style="328" customWidth="1"/>
    <col min="8195" max="8195" width="10.625" style="328" customWidth="1"/>
    <col min="8196" max="8196" width="16.625" style="328" customWidth="1"/>
    <col min="8197" max="8197" width="22.625" style="328" customWidth="1"/>
    <col min="8198" max="8199" width="17.125" style="328" customWidth="1"/>
    <col min="8200" max="8200" width="28.125" style="328" customWidth="1"/>
    <col min="8201" max="8201" width="12.625" style="328" customWidth="1"/>
    <col min="8202" max="8205" width="11.625" style="328" customWidth="1"/>
    <col min="8206" max="8206" width="9.625" style="328" customWidth="1"/>
    <col min="8207" max="8207" width="11.625" style="328" customWidth="1"/>
    <col min="8208" max="8448" width="9" style="328"/>
    <col min="8449" max="8449" width="4.625" style="328" customWidth="1"/>
    <col min="8450" max="8450" width="9.125" style="328" customWidth="1"/>
    <col min="8451" max="8451" width="10.625" style="328" customWidth="1"/>
    <col min="8452" max="8452" width="16.625" style="328" customWidth="1"/>
    <col min="8453" max="8453" width="22.625" style="328" customWidth="1"/>
    <col min="8454" max="8455" width="17.125" style="328" customWidth="1"/>
    <col min="8456" max="8456" width="28.125" style="328" customWidth="1"/>
    <col min="8457" max="8457" width="12.625" style="328" customWidth="1"/>
    <col min="8458" max="8461" width="11.625" style="328" customWidth="1"/>
    <col min="8462" max="8462" width="9.625" style="328" customWidth="1"/>
    <col min="8463" max="8463" width="11.625" style="328" customWidth="1"/>
    <col min="8464" max="8704" width="9" style="328"/>
    <col min="8705" max="8705" width="4.625" style="328" customWidth="1"/>
    <col min="8706" max="8706" width="9.125" style="328" customWidth="1"/>
    <col min="8707" max="8707" width="10.625" style="328" customWidth="1"/>
    <col min="8708" max="8708" width="16.625" style="328" customWidth="1"/>
    <col min="8709" max="8709" width="22.625" style="328" customWidth="1"/>
    <col min="8710" max="8711" width="17.125" style="328" customWidth="1"/>
    <col min="8712" max="8712" width="28.125" style="328" customWidth="1"/>
    <col min="8713" max="8713" width="12.625" style="328" customWidth="1"/>
    <col min="8714" max="8717" width="11.625" style="328" customWidth="1"/>
    <col min="8718" max="8718" width="9.625" style="328" customWidth="1"/>
    <col min="8719" max="8719" width="11.625" style="328" customWidth="1"/>
    <col min="8720" max="8960" width="9" style="328"/>
    <col min="8961" max="8961" width="4.625" style="328" customWidth="1"/>
    <col min="8962" max="8962" width="9.125" style="328" customWidth="1"/>
    <col min="8963" max="8963" width="10.625" style="328" customWidth="1"/>
    <col min="8964" max="8964" width="16.625" style="328" customWidth="1"/>
    <col min="8965" max="8965" width="22.625" style="328" customWidth="1"/>
    <col min="8966" max="8967" width="17.125" style="328" customWidth="1"/>
    <col min="8968" max="8968" width="28.125" style="328" customWidth="1"/>
    <col min="8969" max="8969" width="12.625" style="328" customWidth="1"/>
    <col min="8970" max="8973" width="11.625" style="328" customWidth="1"/>
    <col min="8974" max="8974" width="9.625" style="328" customWidth="1"/>
    <col min="8975" max="8975" width="11.625" style="328" customWidth="1"/>
    <col min="8976" max="9216" width="9" style="328"/>
    <col min="9217" max="9217" width="4.625" style="328" customWidth="1"/>
    <col min="9218" max="9218" width="9.125" style="328" customWidth="1"/>
    <col min="9219" max="9219" width="10.625" style="328" customWidth="1"/>
    <col min="9220" max="9220" width="16.625" style="328" customWidth="1"/>
    <col min="9221" max="9221" width="22.625" style="328" customWidth="1"/>
    <col min="9222" max="9223" width="17.125" style="328" customWidth="1"/>
    <col min="9224" max="9224" width="28.125" style="328" customWidth="1"/>
    <col min="9225" max="9225" width="12.625" style="328" customWidth="1"/>
    <col min="9226" max="9229" width="11.625" style="328" customWidth="1"/>
    <col min="9230" max="9230" width="9.625" style="328" customWidth="1"/>
    <col min="9231" max="9231" width="11.625" style="328" customWidth="1"/>
    <col min="9232" max="9472" width="9" style="328"/>
    <col min="9473" max="9473" width="4.625" style="328" customWidth="1"/>
    <col min="9474" max="9474" width="9.125" style="328" customWidth="1"/>
    <col min="9475" max="9475" width="10.625" style="328" customWidth="1"/>
    <col min="9476" max="9476" width="16.625" style="328" customWidth="1"/>
    <col min="9477" max="9477" width="22.625" style="328" customWidth="1"/>
    <col min="9478" max="9479" width="17.125" style="328" customWidth="1"/>
    <col min="9480" max="9480" width="28.125" style="328" customWidth="1"/>
    <col min="9481" max="9481" width="12.625" style="328" customWidth="1"/>
    <col min="9482" max="9485" width="11.625" style="328" customWidth="1"/>
    <col min="9486" max="9486" width="9.625" style="328" customWidth="1"/>
    <col min="9487" max="9487" width="11.625" style="328" customWidth="1"/>
    <col min="9488" max="9728" width="9" style="328"/>
    <col min="9729" max="9729" width="4.625" style="328" customWidth="1"/>
    <col min="9730" max="9730" width="9.125" style="328" customWidth="1"/>
    <col min="9731" max="9731" width="10.625" style="328" customWidth="1"/>
    <col min="9732" max="9732" width="16.625" style="328" customWidth="1"/>
    <col min="9733" max="9733" width="22.625" style="328" customWidth="1"/>
    <col min="9734" max="9735" width="17.125" style="328" customWidth="1"/>
    <col min="9736" max="9736" width="28.125" style="328" customWidth="1"/>
    <col min="9737" max="9737" width="12.625" style="328" customWidth="1"/>
    <col min="9738" max="9741" width="11.625" style="328" customWidth="1"/>
    <col min="9742" max="9742" width="9.625" style="328" customWidth="1"/>
    <col min="9743" max="9743" width="11.625" style="328" customWidth="1"/>
    <col min="9744" max="9984" width="9" style="328"/>
    <col min="9985" max="9985" width="4.625" style="328" customWidth="1"/>
    <col min="9986" max="9986" width="9.125" style="328" customWidth="1"/>
    <col min="9987" max="9987" width="10.625" style="328" customWidth="1"/>
    <col min="9988" max="9988" width="16.625" style="328" customWidth="1"/>
    <col min="9989" max="9989" width="22.625" style="328" customWidth="1"/>
    <col min="9990" max="9991" width="17.125" style="328" customWidth="1"/>
    <col min="9992" max="9992" width="28.125" style="328" customWidth="1"/>
    <col min="9993" max="9993" width="12.625" style="328" customWidth="1"/>
    <col min="9994" max="9997" width="11.625" style="328" customWidth="1"/>
    <col min="9998" max="9998" width="9.625" style="328" customWidth="1"/>
    <col min="9999" max="9999" width="11.625" style="328" customWidth="1"/>
    <col min="10000" max="10240" width="9" style="328"/>
    <col min="10241" max="10241" width="4.625" style="328" customWidth="1"/>
    <col min="10242" max="10242" width="9.125" style="328" customWidth="1"/>
    <col min="10243" max="10243" width="10.625" style="328" customWidth="1"/>
    <col min="10244" max="10244" width="16.625" style="328" customWidth="1"/>
    <col min="10245" max="10245" width="22.625" style="328" customWidth="1"/>
    <col min="10246" max="10247" width="17.125" style="328" customWidth="1"/>
    <col min="10248" max="10248" width="28.125" style="328" customWidth="1"/>
    <col min="10249" max="10249" width="12.625" style="328" customWidth="1"/>
    <col min="10250" max="10253" width="11.625" style="328" customWidth="1"/>
    <col min="10254" max="10254" width="9.625" style="328" customWidth="1"/>
    <col min="10255" max="10255" width="11.625" style="328" customWidth="1"/>
    <col min="10256" max="10496" width="9" style="328"/>
    <col min="10497" max="10497" width="4.625" style="328" customWidth="1"/>
    <col min="10498" max="10498" width="9.125" style="328" customWidth="1"/>
    <col min="10499" max="10499" width="10.625" style="328" customWidth="1"/>
    <col min="10500" max="10500" width="16.625" style="328" customWidth="1"/>
    <col min="10501" max="10501" width="22.625" style="328" customWidth="1"/>
    <col min="10502" max="10503" width="17.125" style="328" customWidth="1"/>
    <col min="10504" max="10504" width="28.125" style="328" customWidth="1"/>
    <col min="10505" max="10505" width="12.625" style="328" customWidth="1"/>
    <col min="10506" max="10509" width="11.625" style="328" customWidth="1"/>
    <col min="10510" max="10510" width="9.625" style="328" customWidth="1"/>
    <col min="10511" max="10511" width="11.625" style="328" customWidth="1"/>
    <col min="10512" max="10752" width="9" style="328"/>
    <col min="10753" max="10753" width="4.625" style="328" customWidth="1"/>
    <col min="10754" max="10754" width="9.125" style="328" customWidth="1"/>
    <col min="10755" max="10755" width="10.625" style="328" customWidth="1"/>
    <col min="10756" max="10756" width="16.625" style="328" customWidth="1"/>
    <col min="10757" max="10757" width="22.625" style="328" customWidth="1"/>
    <col min="10758" max="10759" width="17.125" style="328" customWidth="1"/>
    <col min="10760" max="10760" width="28.125" style="328" customWidth="1"/>
    <col min="10761" max="10761" width="12.625" style="328" customWidth="1"/>
    <col min="10762" max="10765" width="11.625" style="328" customWidth="1"/>
    <col min="10766" max="10766" width="9.625" style="328" customWidth="1"/>
    <col min="10767" max="10767" width="11.625" style="328" customWidth="1"/>
    <col min="10768" max="11008" width="9" style="328"/>
    <col min="11009" max="11009" width="4.625" style="328" customWidth="1"/>
    <col min="11010" max="11010" width="9.125" style="328" customWidth="1"/>
    <col min="11011" max="11011" width="10.625" style="328" customWidth="1"/>
    <col min="11012" max="11012" width="16.625" style="328" customWidth="1"/>
    <col min="11013" max="11013" width="22.625" style="328" customWidth="1"/>
    <col min="11014" max="11015" width="17.125" style="328" customWidth="1"/>
    <col min="11016" max="11016" width="28.125" style="328" customWidth="1"/>
    <col min="11017" max="11017" width="12.625" style="328" customWidth="1"/>
    <col min="11018" max="11021" width="11.625" style="328" customWidth="1"/>
    <col min="11022" max="11022" width="9.625" style="328" customWidth="1"/>
    <col min="11023" max="11023" width="11.625" style="328" customWidth="1"/>
    <col min="11024" max="11264" width="9" style="328"/>
    <col min="11265" max="11265" width="4.625" style="328" customWidth="1"/>
    <col min="11266" max="11266" width="9.125" style="328" customWidth="1"/>
    <col min="11267" max="11267" width="10.625" style="328" customWidth="1"/>
    <col min="11268" max="11268" width="16.625" style="328" customWidth="1"/>
    <col min="11269" max="11269" width="22.625" style="328" customWidth="1"/>
    <col min="11270" max="11271" width="17.125" style="328" customWidth="1"/>
    <col min="11272" max="11272" width="28.125" style="328" customWidth="1"/>
    <col min="11273" max="11273" width="12.625" style="328" customWidth="1"/>
    <col min="11274" max="11277" width="11.625" style="328" customWidth="1"/>
    <col min="11278" max="11278" width="9.625" style="328" customWidth="1"/>
    <col min="11279" max="11279" width="11.625" style="328" customWidth="1"/>
    <col min="11280" max="11520" width="9" style="328"/>
    <col min="11521" max="11521" width="4.625" style="328" customWidth="1"/>
    <col min="11522" max="11522" width="9.125" style="328" customWidth="1"/>
    <col min="11523" max="11523" width="10.625" style="328" customWidth="1"/>
    <col min="11524" max="11524" width="16.625" style="328" customWidth="1"/>
    <col min="11525" max="11525" width="22.625" style="328" customWidth="1"/>
    <col min="11526" max="11527" width="17.125" style="328" customWidth="1"/>
    <col min="11528" max="11528" width="28.125" style="328" customWidth="1"/>
    <col min="11529" max="11529" width="12.625" style="328" customWidth="1"/>
    <col min="11530" max="11533" width="11.625" style="328" customWidth="1"/>
    <col min="11534" max="11534" width="9.625" style="328" customWidth="1"/>
    <col min="11535" max="11535" width="11.625" style="328" customWidth="1"/>
    <col min="11536" max="11776" width="9" style="328"/>
    <col min="11777" max="11777" width="4.625" style="328" customWidth="1"/>
    <col min="11778" max="11778" width="9.125" style="328" customWidth="1"/>
    <col min="11779" max="11779" width="10.625" style="328" customWidth="1"/>
    <col min="11780" max="11780" width="16.625" style="328" customWidth="1"/>
    <col min="11781" max="11781" width="22.625" style="328" customWidth="1"/>
    <col min="11782" max="11783" width="17.125" style="328" customWidth="1"/>
    <col min="11784" max="11784" width="28.125" style="328" customWidth="1"/>
    <col min="11785" max="11785" width="12.625" style="328" customWidth="1"/>
    <col min="11786" max="11789" width="11.625" style="328" customWidth="1"/>
    <col min="11790" max="11790" width="9.625" style="328" customWidth="1"/>
    <col min="11791" max="11791" width="11.625" style="328" customWidth="1"/>
    <col min="11792" max="12032" width="9" style="328"/>
    <col min="12033" max="12033" width="4.625" style="328" customWidth="1"/>
    <col min="12034" max="12034" width="9.125" style="328" customWidth="1"/>
    <col min="12035" max="12035" width="10.625" style="328" customWidth="1"/>
    <col min="12036" max="12036" width="16.625" style="328" customWidth="1"/>
    <col min="12037" max="12037" width="22.625" style="328" customWidth="1"/>
    <col min="12038" max="12039" width="17.125" style="328" customWidth="1"/>
    <col min="12040" max="12040" width="28.125" style="328" customWidth="1"/>
    <col min="12041" max="12041" width="12.625" style="328" customWidth="1"/>
    <col min="12042" max="12045" width="11.625" style="328" customWidth="1"/>
    <col min="12046" max="12046" width="9.625" style="328" customWidth="1"/>
    <col min="12047" max="12047" width="11.625" style="328" customWidth="1"/>
    <col min="12048" max="12288" width="9" style="328"/>
    <col min="12289" max="12289" width="4.625" style="328" customWidth="1"/>
    <col min="12290" max="12290" width="9.125" style="328" customWidth="1"/>
    <col min="12291" max="12291" width="10.625" style="328" customWidth="1"/>
    <col min="12292" max="12292" width="16.625" style="328" customWidth="1"/>
    <col min="12293" max="12293" width="22.625" style="328" customWidth="1"/>
    <col min="12294" max="12295" width="17.125" style="328" customWidth="1"/>
    <col min="12296" max="12296" width="28.125" style="328" customWidth="1"/>
    <col min="12297" max="12297" width="12.625" style="328" customWidth="1"/>
    <col min="12298" max="12301" width="11.625" style="328" customWidth="1"/>
    <col min="12302" max="12302" width="9.625" style="328" customWidth="1"/>
    <col min="12303" max="12303" width="11.625" style="328" customWidth="1"/>
    <col min="12304" max="12544" width="9" style="328"/>
    <col min="12545" max="12545" width="4.625" style="328" customWidth="1"/>
    <col min="12546" max="12546" width="9.125" style="328" customWidth="1"/>
    <col min="12547" max="12547" width="10.625" style="328" customWidth="1"/>
    <col min="12548" max="12548" width="16.625" style="328" customWidth="1"/>
    <col min="12549" max="12549" width="22.625" style="328" customWidth="1"/>
    <col min="12550" max="12551" width="17.125" style="328" customWidth="1"/>
    <col min="12552" max="12552" width="28.125" style="328" customWidth="1"/>
    <col min="12553" max="12553" width="12.625" style="328" customWidth="1"/>
    <col min="12554" max="12557" width="11.625" style="328" customWidth="1"/>
    <col min="12558" max="12558" width="9.625" style="328" customWidth="1"/>
    <col min="12559" max="12559" width="11.625" style="328" customWidth="1"/>
    <col min="12560" max="12800" width="9" style="328"/>
    <col min="12801" max="12801" width="4.625" style="328" customWidth="1"/>
    <col min="12802" max="12802" width="9.125" style="328" customWidth="1"/>
    <col min="12803" max="12803" width="10.625" style="328" customWidth="1"/>
    <col min="12804" max="12804" width="16.625" style="328" customWidth="1"/>
    <col min="12805" max="12805" width="22.625" style="328" customWidth="1"/>
    <col min="12806" max="12807" width="17.125" style="328" customWidth="1"/>
    <col min="12808" max="12808" width="28.125" style="328" customWidth="1"/>
    <col min="12809" max="12809" width="12.625" style="328" customWidth="1"/>
    <col min="12810" max="12813" width="11.625" style="328" customWidth="1"/>
    <col min="12814" max="12814" width="9.625" style="328" customWidth="1"/>
    <col min="12815" max="12815" width="11.625" style="328" customWidth="1"/>
    <col min="12816" max="13056" width="9" style="328"/>
    <col min="13057" max="13057" width="4.625" style="328" customWidth="1"/>
    <col min="13058" max="13058" width="9.125" style="328" customWidth="1"/>
    <col min="13059" max="13059" width="10.625" style="328" customWidth="1"/>
    <col min="13060" max="13060" width="16.625" style="328" customWidth="1"/>
    <col min="13061" max="13061" width="22.625" style="328" customWidth="1"/>
    <col min="13062" max="13063" width="17.125" style="328" customWidth="1"/>
    <col min="13064" max="13064" width="28.125" style="328" customWidth="1"/>
    <col min="13065" max="13065" width="12.625" style="328" customWidth="1"/>
    <col min="13066" max="13069" width="11.625" style="328" customWidth="1"/>
    <col min="13070" max="13070" width="9.625" style="328" customWidth="1"/>
    <col min="13071" max="13071" width="11.625" style="328" customWidth="1"/>
    <col min="13072" max="13312" width="9" style="328"/>
    <col min="13313" max="13313" width="4.625" style="328" customWidth="1"/>
    <col min="13314" max="13314" width="9.125" style="328" customWidth="1"/>
    <col min="13315" max="13315" width="10.625" style="328" customWidth="1"/>
    <col min="13316" max="13316" width="16.625" style="328" customWidth="1"/>
    <col min="13317" max="13317" width="22.625" style="328" customWidth="1"/>
    <col min="13318" max="13319" width="17.125" style="328" customWidth="1"/>
    <col min="13320" max="13320" width="28.125" style="328" customWidth="1"/>
    <col min="13321" max="13321" width="12.625" style="328" customWidth="1"/>
    <col min="13322" max="13325" width="11.625" style="328" customWidth="1"/>
    <col min="13326" max="13326" width="9.625" style="328" customWidth="1"/>
    <col min="13327" max="13327" width="11.625" style="328" customWidth="1"/>
    <col min="13328" max="13568" width="9" style="328"/>
    <col min="13569" max="13569" width="4.625" style="328" customWidth="1"/>
    <col min="13570" max="13570" width="9.125" style="328" customWidth="1"/>
    <col min="13571" max="13571" width="10.625" style="328" customWidth="1"/>
    <col min="13572" max="13572" width="16.625" style="328" customWidth="1"/>
    <col min="13573" max="13573" width="22.625" style="328" customWidth="1"/>
    <col min="13574" max="13575" width="17.125" style="328" customWidth="1"/>
    <col min="13576" max="13576" width="28.125" style="328" customWidth="1"/>
    <col min="13577" max="13577" width="12.625" style="328" customWidth="1"/>
    <col min="13578" max="13581" width="11.625" style="328" customWidth="1"/>
    <col min="13582" max="13582" width="9.625" style="328" customWidth="1"/>
    <col min="13583" max="13583" width="11.625" style="328" customWidth="1"/>
    <col min="13584" max="13824" width="9" style="328"/>
    <col min="13825" max="13825" width="4.625" style="328" customWidth="1"/>
    <col min="13826" max="13826" width="9.125" style="328" customWidth="1"/>
    <col min="13827" max="13827" width="10.625" style="328" customWidth="1"/>
    <col min="13828" max="13828" width="16.625" style="328" customWidth="1"/>
    <col min="13829" max="13829" width="22.625" style="328" customWidth="1"/>
    <col min="13830" max="13831" width="17.125" style="328" customWidth="1"/>
    <col min="13832" max="13832" width="28.125" style="328" customWidth="1"/>
    <col min="13833" max="13833" width="12.625" style="328" customWidth="1"/>
    <col min="13834" max="13837" width="11.625" style="328" customWidth="1"/>
    <col min="13838" max="13838" width="9.625" style="328" customWidth="1"/>
    <col min="13839" max="13839" width="11.625" style="328" customWidth="1"/>
    <col min="13840" max="14080" width="9" style="328"/>
    <col min="14081" max="14081" width="4.625" style="328" customWidth="1"/>
    <col min="14082" max="14082" width="9.125" style="328" customWidth="1"/>
    <col min="14083" max="14083" width="10.625" style="328" customWidth="1"/>
    <col min="14084" max="14084" width="16.625" style="328" customWidth="1"/>
    <col min="14085" max="14085" width="22.625" style="328" customWidth="1"/>
    <col min="14086" max="14087" width="17.125" style="328" customWidth="1"/>
    <col min="14088" max="14088" width="28.125" style="328" customWidth="1"/>
    <col min="14089" max="14089" width="12.625" style="328" customWidth="1"/>
    <col min="14090" max="14093" width="11.625" style="328" customWidth="1"/>
    <col min="14094" max="14094" width="9.625" style="328" customWidth="1"/>
    <col min="14095" max="14095" width="11.625" style="328" customWidth="1"/>
    <col min="14096" max="14336" width="9" style="328"/>
    <col min="14337" max="14337" width="4.625" style="328" customWidth="1"/>
    <col min="14338" max="14338" width="9.125" style="328" customWidth="1"/>
    <col min="14339" max="14339" width="10.625" style="328" customWidth="1"/>
    <col min="14340" max="14340" width="16.625" style="328" customWidth="1"/>
    <col min="14341" max="14341" width="22.625" style="328" customWidth="1"/>
    <col min="14342" max="14343" width="17.125" style="328" customWidth="1"/>
    <col min="14344" max="14344" width="28.125" style="328" customWidth="1"/>
    <col min="14345" max="14345" width="12.625" style="328" customWidth="1"/>
    <col min="14346" max="14349" width="11.625" style="328" customWidth="1"/>
    <col min="14350" max="14350" width="9.625" style="328" customWidth="1"/>
    <col min="14351" max="14351" width="11.625" style="328" customWidth="1"/>
    <col min="14352" max="14592" width="9" style="328"/>
    <col min="14593" max="14593" width="4.625" style="328" customWidth="1"/>
    <col min="14594" max="14594" width="9.125" style="328" customWidth="1"/>
    <col min="14595" max="14595" width="10.625" style="328" customWidth="1"/>
    <col min="14596" max="14596" width="16.625" style="328" customWidth="1"/>
    <col min="14597" max="14597" width="22.625" style="328" customWidth="1"/>
    <col min="14598" max="14599" width="17.125" style="328" customWidth="1"/>
    <col min="14600" max="14600" width="28.125" style="328" customWidth="1"/>
    <col min="14601" max="14601" width="12.625" style="328" customWidth="1"/>
    <col min="14602" max="14605" width="11.625" style="328" customWidth="1"/>
    <col min="14606" max="14606" width="9.625" style="328" customWidth="1"/>
    <col min="14607" max="14607" width="11.625" style="328" customWidth="1"/>
    <col min="14608" max="14848" width="9" style="328"/>
    <col min="14849" max="14849" width="4.625" style="328" customWidth="1"/>
    <col min="14850" max="14850" width="9.125" style="328" customWidth="1"/>
    <col min="14851" max="14851" width="10.625" style="328" customWidth="1"/>
    <col min="14852" max="14852" width="16.625" style="328" customWidth="1"/>
    <col min="14853" max="14853" width="22.625" style="328" customWidth="1"/>
    <col min="14854" max="14855" width="17.125" style="328" customWidth="1"/>
    <col min="14856" max="14856" width="28.125" style="328" customWidth="1"/>
    <col min="14857" max="14857" width="12.625" style="328" customWidth="1"/>
    <col min="14858" max="14861" width="11.625" style="328" customWidth="1"/>
    <col min="14862" max="14862" width="9.625" style="328" customWidth="1"/>
    <col min="14863" max="14863" width="11.625" style="328" customWidth="1"/>
    <col min="14864" max="15104" width="9" style="328"/>
    <col min="15105" max="15105" width="4.625" style="328" customWidth="1"/>
    <col min="15106" max="15106" width="9.125" style="328" customWidth="1"/>
    <col min="15107" max="15107" width="10.625" style="328" customWidth="1"/>
    <col min="15108" max="15108" width="16.625" style="328" customWidth="1"/>
    <col min="15109" max="15109" width="22.625" style="328" customWidth="1"/>
    <col min="15110" max="15111" width="17.125" style="328" customWidth="1"/>
    <col min="15112" max="15112" width="28.125" style="328" customWidth="1"/>
    <col min="15113" max="15113" width="12.625" style="328" customWidth="1"/>
    <col min="15114" max="15117" width="11.625" style="328" customWidth="1"/>
    <col min="15118" max="15118" width="9.625" style="328" customWidth="1"/>
    <col min="15119" max="15119" width="11.625" style="328" customWidth="1"/>
    <col min="15120" max="15360" width="9" style="328"/>
    <col min="15361" max="15361" width="4.625" style="328" customWidth="1"/>
    <col min="15362" max="15362" width="9.125" style="328" customWidth="1"/>
    <col min="15363" max="15363" width="10.625" style="328" customWidth="1"/>
    <col min="15364" max="15364" width="16.625" style="328" customWidth="1"/>
    <col min="15365" max="15365" width="22.625" style="328" customWidth="1"/>
    <col min="15366" max="15367" width="17.125" style="328" customWidth="1"/>
    <col min="15368" max="15368" width="28.125" style="328" customWidth="1"/>
    <col min="15369" max="15369" width="12.625" style="328" customWidth="1"/>
    <col min="15370" max="15373" width="11.625" style="328" customWidth="1"/>
    <col min="15374" max="15374" width="9.625" style="328" customWidth="1"/>
    <col min="15375" max="15375" width="11.625" style="328" customWidth="1"/>
    <col min="15376" max="15616" width="9" style="328"/>
    <col min="15617" max="15617" width="4.625" style="328" customWidth="1"/>
    <col min="15618" max="15618" width="9.125" style="328" customWidth="1"/>
    <col min="15619" max="15619" width="10.625" style="328" customWidth="1"/>
    <col min="15620" max="15620" width="16.625" style="328" customWidth="1"/>
    <col min="15621" max="15621" width="22.625" style="328" customWidth="1"/>
    <col min="15622" max="15623" width="17.125" style="328" customWidth="1"/>
    <col min="15624" max="15624" width="28.125" style="328" customWidth="1"/>
    <col min="15625" max="15625" width="12.625" style="328" customWidth="1"/>
    <col min="15626" max="15629" width="11.625" style="328" customWidth="1"/>
    <col min="15630" max="15630" width="9.625" style="328" customWidth="1"/>
    <col min="15631" max="15631" width="11.625" style="328" customWidth="1"/>
    <col min="15632" max="15872" width="9" style="328"/>
    <col min="15873" max="15873" width="4.625" style="328" customWidth="1"/>
    <col min="15874" max="15874" width="9.125" style="328" customWidth="1"/>
    <col min="15875" max="15875" width="10.625" style="328" customWidth="1"/>
    <col min="15876" max="15876" width="16.625" style="328" customWidth="1"/>
    <col min="15877" max="15877" width="22.625" style="328" customWidth="1"/>
    <col min="15878" max="15879" width="17.125" style="328" customWidth="1"/>
    <col min="15880" max="15880" width="28.125" style="328" customWidth="1"/>
    <col min="15881" max="15881" width="12.625" style="328" customWidth="1"/>
    <col min="15882" max="15885" width="11.625" style="328" customWidth="1"/>
    <col min="15886" max="15886" width="9.625" style="328" customWidth="1"/>
    <col min="15887" max="15887" width="11.625" style="328" customWidth="1"/>
    <col min="15888" max="16128" width="9" style="328"/>
    <col min="16129" max="16129" width="4.625" style="328" customWidth="1"/>
    <col min="16130" max="16130" width="9.125" style="328" customWidth="1"/>
    <col min="16131" max="16131" width="10.625" style="328" customWidth="1"/>
    <col min="16132" max="16132" width="16.625" style="328" customWidth="1"/>
    <col min="16133" max="16133" width="22.625" style="328" customWidth="1"/>
    <col min="16134" max="16135" width="17.125" style="328" customWidth="1"/>
    <col min="16136" max="16136" width="28.125" style="328" customWidth="1"/>
    <col min="16137" max="16137" width="12.625" style="328" customWidth="1"/>
    <col min="16138" max="16141" width="11.625" style="328" customWidth="1"/>
    <col min="16142" max="16142" width="9.625" style="328" customWidth="1"/>
    <col min="16143" max="16143" width="11.625" style="328" customWidth="1"/>
    <col min="16144" max="16384" width="9" style="328"/>
  </cols>
  <sheetData>
    <row r="1" spans="1:16" ht="21" x14ac:dyDescent="0.45">
      <c r="A1" s="512" t="s">
        <v>1913</v>
      </c>
      <c r="B1" s="512"/>
      <c r="C1" s="512"/>
      <c r="D1" s="512"/>
      <c r="E1" s="512"/>
      <c r="F1" s="512"/>
      <c r="G1" s="512"/>
      <c r="H1" s="512"/>
      <c r="I1" s="512"/>
      <c r="J1" s="512"/>
      <c r="K1" s="512"/>
      <c r="L1" s="512"/>
      <c r="M1" s="512"/>
      <c r="N1" s="512"/>
      <c r="O1" s="512"/>
    </row>
    <row r="2" spans="1:16" ht="21" x14ac:dyDescent="0.45">
      <c r="A2" s="512" t="s">
        <v>1920</v>
      </c>
      <c r="B2" s="512"/>
      <c r="C2" s="512"/>
      <c r="D2" s="512"/>
      <c r="E2" s="512"/>
      <c r="F2" s="512"/>
      <c r="G2" s="512"/>
      <c r="H2" s="512"/>
      <c r="I2" s="512"/>
      <c r="J2" s="512"/>
      <c r="K2" s="512"/>
      <c r="L2" s="512"/>
      <c r="M2" s="512"/>
      <c r="N2" s="512"/>
      <c r="O2" s="512"/>
    </row>
    <row r="3" spans="1:16" ht="21" x14ac:dyDescent="0.45">
      <c r="A3" s="512" t="s">
        <v>1914</v>
      </c>
      <c r="B3" s="512"/>
      <c r="C3" s="512"/>
      <c r="D3" s="512"/>
      <c r="E3" s="512"/>
      <c r="F3" s="512"/>
      <c r="G3" s="512"/>
      <c r="H3" s="512"/>
      <c r="I3" s="512"/>
      <c r="J3" s="512"/>
      <c r="K3" s="512"/>
      <c r="L3" s="512"/>
      <c r="M3" s="512"/>
      <c r="N3" s="512"/>
      <c r="O3" s="512"/>
    </row>
    <row r="4" spans="1:16" s="332" customFormat="1" ht="8.1" customHeight="1" thickBot="1" x14ac:dyDescent="0.45">
      <c r="A4" s="329"/>
      <c r="B4" s="330"/>
      <c r="C4" s="329"/>
      <c r="D4" s="329"/>
      <c r="E4" s="331"/>
      <c r="I4" s="333"/>
    </row>
    <row r="5" spans="1:16" s="335" customFormat="1" ht="38.1" customHeight="1" x14ac:dyDescent="0.4">
      <c r="A5" s="535" t="s">
        <v>253</v>
      </c>
      <c r="B5" s="538" t="s">
        <v>254</v>
      </c>
      <c r="C5" s="539"/>
      <c r="D5" s="539"/>
      <c r="E5" s="539"/>
      <c r="F5" s="539"/>
      <c r="G5" s="539"/>
      <c r="H5" s="539"/>
      <c r="I5" s="540"/>
      <c r="J5" s="541" t="s">
        <v>892</v>
      </c>
      <c r="K5" s="542"/>
      <c r="L5" s="542"/>
      <c r="M5" s="542"/>
      <c r="N5" s="543"/>
      <c r="O5" s="544" t="s">
        <v>256</v>
      </c>
      <c r="P5" s="334"/>
    </row>
    <row r="6" spans="1:16" s="336" customFormat="1" ht="57.95" customHeight="1" x14ac:dyDescent="0.2">
      <c r="A6" s="536"/>
      <c r="B6" s="518" t="s">
        <v>257</v>
      </c>
      <c r="C6" s="513" t="s">
        <v>2</v>
      </c>
      <c r="D6" s="513" t="s">
        <v>258</v>
      </c>
      <c r="E6" s="514" t="s">
        <v>259</v>
      </c>
      <c r="F6" s="513" t="s">
        <v>260</v>
      </c>
      <c r="G6" s="513" t="s">
        <v>261</v>
      </c>
      <c r="H6" s="513" t="s">
        <v>262</v>
      </c>
      <c r="I6" s="508" t="s">
        <v>263</v>
      </c>
      <c r="J6" s="533" t="s">
        <v>893</v>
      </c>
      <c r="K6" s="534"/>
      <c r="L6" s="547" t="s">
        <v>265</v>
      </c>
      <c r="M6" s="548"/>
      <c r="N6" s="549"/>
      <c r="O6" s="545"/>
    </row>
    <row r="7" spans="1:16" s="335" customFormat="1" ht="60" customHeight="1" x14ac:dyDescent="0.4">
      <c r="A7" s="537"/>
      <c r="B7" s="518"/>
      <c r="C7" s="513"/>
      <c r="D7" s="513"/>
      <c r="E7" s="550"/>
      <c r="F7" s="513"/>
      <c r="G7" s="513"/>
      <c r="H7" s="513"/>
      <c r="I7" s="508"/>
      <c r="J7" s="337" t="s">
        <v>266</v>
      </c>
      <c r="K7" s="337" t="s">
        <v>267</v>
      </c>
      <c r="L7" s="338" t="s">
        <v>266</v>
      </c>
      <c r="M7" s="338" t="s">
        <v>267</v>
      </c>
      <c r="N7" s="338" t="s">
        <v>1921</v>
      </c>
      <c r="O7" s="546"/>
      <c r="P7" s="334"/>
    </row>
    <row r="8" spans="1:16" s="345" customFormat="1" x14ac:dyDescent="0.4">
      <c r="A8" s="339" t="s">
        <v>739</v>
      </c>
      <c r="B8" s="340"/>
      <c r="C8" s="341"/>
      <c r="D8" s="341"/>
      <c r="E8" s="342"/>
      <c r="F8" s="341"/>
      <c r="G8" s="341"/>
      <c r="H8" s="341"/>
      <c r="I8" s="343">
        <f>SUM(I9:I15)</f>
        <v>3194375</v>
      </c>
      <c r="J8" s="343">
        <f t="shared" ref="J8:O8" si="0">SUM(J9:J15)</f>
        <v>0</v>
      </c>
      <c r="K8" s="343">
        <f t="shared" si="0"/>
        <v>0</v>
      </c>
      <c r="L8" s="343">
        <f t="shared" si="0"/>
        <v>81138.25</v>
      </c>
      <c r="M8" s="343">
        <f t="shared" si="0"/>
        <v>81138.25</v>
      </c>
      <c r="N8" s="343">
        <f t="shared" si="0"/>
        <v>0</v>
      </c>
      <c r="O8" s="343">
        <f t="shared" si="0"/>
        <v>3032098.5</v>
      </c>
      <c r="P8" s="344"/>
    </row>
    <row r="9" spans="1:16" s="354" customFormat="1" ht="20.100000000000001" customHeight="1" x14ac:dyDescent="0.4">
      <c r="A9" s="346">
        <v>1</v>
      </c>
      <c r="B9" s="347" t="s">
        <v>1657</v>
      </c>
      <c r="C9" s="348" t="s">
        <v>1666</v>
      </c>
      <c r="D9" s="346" t="s">
        <v>1854</v>
      </c>
      <c r="E9" s="349" t="s">
        <v>1667</v>
      </c>
      <c r="F9" s="350" t="s">
        <v>739</v>
      </c>
      <c r="G9" s="350" t="s">
        <v>908</v>
      </c>
      <c r="H9" s="351" t="s">
        <v>1922</v>
      </c>
      <c r="I9" s="352">
        <f>67539+767461</f>
        <v>835000</v>
      </c>
      <c r="J9" s="352">
        <v>0</v>
      </c>
      <c r="K9" s="352">
        <v>0</v>
      </c>
      <c r="L9" s="352">
        <v>33769.5</v>
      </c>
      <c r="M9" s="352">
        <v>33769.5</v>
      </c>
      <c r="N9" s="352">
        <v>0</v>
      </c>
      <c r="O9" s="352">
        <f t="shared" ref="O9:O15" si="1">+I9-(SUM(J9:N9))</f>
        <v>767461</v>
      </c>
      <c r="P9" s="353"/>
    </row>
    <row r="10" spans="1:16" s="353" customFormat="1" ht="93.75" x14ac:dyDescent="0.2">
      <c r="A10" s="346">
        <v>2</v>
      </c>
      <c r="B10" s="347" t="s">
        <v>1860</v>
      </c>
      <c r="C10" s="348" t="s">
        <v>1861</v>
      </c>
      <c r="D10" s="346" t="s">
        <v>1862</v>
      </c>
      <c r="E10" s="349" t="s">
        <v>1173</v>
      </c>
      <c r="F10" s="350" t="s">
        <v>739</v>
      </c>
      <c r="G10" s="350" t="s">
        <v>1162</v>
      </c>
      <c r="H10" s="351" t="s">
        <v>1923</v>
      </c>
      <c r="I10" s="352">
        <v>30875</v>
      </c>
      <c r="J10" s="352">
        <v>0</v>
      </c>
      <c r="K10" s="352">
        <v>0</v>
      </c>
      <c r="L10" s="352">
        <v>1918.75</v>
      </c>
      <c r="M10" s="352">
        <v>1918.75</v>
      </c>
      <c r="N10" s="352">
        <v>0</v>
      </c>
      <c r="O10" s="352">
        <f t="shared" si="1"/>
        <v>27037.5</v>
      </c>
    </row>
    <row r="11" spans="1:16" s="354" customFormat="1" ht="20.100000000000001" customHeight="1" x14ac:dyDescent="0.4">
      <c r="A11" s="346">
        <v>3</v>
      </c>
      <c r="B11" s="347" t="s">
        <v>1871</v>
      </c>
      <c r="C11" s="348" t="s">
        <v>1872</v>
      </c>
      <c r="D11" s="346" t="s">
        <v>1873</v>
      </c>
      <c r="E11" s="349" t="s">
        <v>1173</v>
      </c>
      <c r="F11" s="350" t="s">
        <v>739</v>
      </c>
      <c r="G11" s="350" t="s">
        <v>1162</v>
      </c>
      <c r="H11" s="351" t="s">
        <v>1924</v>
      </c>
      <c r="I11" s="352">
        <v>171000</v>
      </c>
      <c r="J11" s="352">
        <v>0</v>
      </c>
      <c r="K11" s="352">
        <v>0</v>
      </c>
      <c r="L11" s="352">
        <v>15000</v>
      </c>
      <c r="M11" s="352">
        <v>15000</v>
      </c>
      <c r="N11" s="352">
        <v>0</v>
      </c>
      <c r="O11" s="352">
        <f t="shared" si="1"/>
        <v>141000</v>
      </c>
      <c r="P11" s="353"/>
    </row>
    <row r="12" spans="1:16" s="353" customFormat="1" ht="112.5" x14ac:dyDescent="0.2">
      <c r="A12" s="346">
        <v>4</v>
      </c>
      <c r="B12" s="347" t="s">
        <v>1807</v>
      </c>
      <c r="C12" s="348" t="s">
        <v>1808</v>
      </c>
      <c r="D12" s="346" t="s">
        <v>1809</v>
      </c>
      <c r="E12" s="349" t="s">
        <v>1185</v>
      </c>
      <c r="F12" s="350" t="s">
        <v>1186</v>
      </c>
      <c r="G12" s="350" t="s">
        <v>1763</v>
      </c>
      <c r="H12" s="351" t="s">
        <v>1925</v>
      </c>
      <c r="I12" s="352">
        <v>1235000</v>
      </c>
      <c r="J12" s="352">
        <v>0</v>
      </c>
      <c r="K12" s="352">
        <v>0</v>
      </c>
      <c r="L12" s="352">
        <v>0</v>
      </c>
      <c r="M12" s="352">
        <v>0</v>
      </c>
      <c r="N12" s="355" t="s">
        <v>1786</v>
      </c>
      <c r="O12" s="352">
        <f t="shared" si="1"/>
        <v>1235000</v>
      </c>
    </row>
    <row r="13" spans="1:16" s="353" customFormat="1" ht="56.25" x14ac:dyDescent="0.2">
      <c r="A13" s="346">
        <v>5</v>
      </c>
      <c r="B13" s="347" t="s">
        <v>1814</v>
      </c>
      <c r="C13" s="348" t="s">
        <v>1895</v>
      </c>
      <c r="D13" s="346" t="s">
        <v>1896</v>
      </c>
      <c r="E13" s="349" t="s">
        <v>1185</v>
      </c>
      <c r="F13" s="350" t="s">
        <v>739</v>
      </c>
      <c r="G13" s="350" t="s">
        <v>1897</v>
      </c>
      <c r="H13" s="351" t="s">
        <v>1926</v>
      </c>
      <c r="I13" s="352">
        <f>60900+639100</f>
        <v>700000</v>
      </c>
      <c r="J13" s="352">
        <v>0</v>
      </c>
      <c r="K13" s="352">
        <v>0</v>
      </c>
      <c r="L13" s="352">
        <v>30450</v>
      </c>
      <c r="M13" s="352">
        <v>30450</v>
      </c>
      <c r="N13" s="352">
        <v>0</v>
      </c>
      <c r="O13" s="352">
        <f t="shared" si="1"/>
        <v>639100</v>
      </c>
    </row>
    <row r="14" spans="1:16" s="353" customFormat="1" ht="93.75" x14ac:dyDescent="0.2">
      <c r="A14" s="346">
        <v>6</v>
      </c>
      <c r="B14" s="347" t="s">
        <v>1898</v>
      </c>
      <c r="C14" s="348" t="s">
        <v>1899</v>
      </c>
      <c r="D14" s="346" t="s">
        <v>1900</v>
      </c>
      <c r="E14" s="349" t="s">
        <v>1173</v>
      </c>
      <c r="F14" s="350" t="s">
        <v>739</v>
      </c>
      <c r="G14" s="350" t="s">
        <v>1162</v>
      </c>
      <c r="H14" s="351" t="s">
        <v>1927</v>
      </c>
      <c r="I14" s="352">
        <v>32500</v>
      </c>
      <c r="J14" s="352">
        <v>0</v>
      </c>
      <c r="K14" s="352">
        <v>0</v>
      </c>
      <c r="L14" s="352">
        <v>0</v>
      </c>
      <c r="M14" s="352">
        <v>0</v>
      </c>
      <c r="N14" s="355" t="s">
        <v>1901</v>
      </c>
      <c r="O14" s="352">
        <f t="shared" si="1"/>
        <v>32500</v>
      </c>
    </row>
    <row r="15" spans="1:16" s="353" customFormat="1" ht="112.5" x14ac:dyDescent="0.2">
      <c r="A15" s="346">
        <v>7</v>
      </c>
      <c r="B15" s="347">
        <v>243161</v>
      </c>
      <c r="C15" s="348" t="s">
        <v>1109</v>
      </c>
      <c r="D15" s="346" t="s">
        <v>1912</v>
      </c>
      <c r="E15" s="349" t="s">
        <v>1173</v>
      </c>
      <c r="F15" s="350" t="s">
        <v>1186</v>
      </c>
      <c r="G15" s="350" t="s">
        <v>1162</v>
      </c>
      <c r="H15" s="351" t="s">
        <v>1928</v>
      </c>
      <c r="I15" s="352">
        <v>190000</v>
      </c>
      <c r="J15" s="352">
        <v>0</v>
      </c>
      <c r="K15" s="352">
        <v>0</v>
      </c>
      <c r="L15" s="352"/>
      <c r="M15" s="352"/>
      <c r="N15" s="355" t="s">
        <v>1911</v>
      </c>
      <c r="O15" s="352">
        <f t="shared" si="1"/>
        <v>190000</v>
      </c>
    </row>
    <row r="16" spans="1:16" s="353" customFormat="1" x14ac:dyDescent="0.2">
      <c r="A16" s="356" t="s">
        <v>360</v>
      </c>
      <c r="B16" s="357"/>
      <c r="C16" s="358"/>
      <c r="D16" s="359"/>
      <c r="E16" s="356"/>
      <c r="F16" s="360"/>
      <c r="G16" s="360"/>
      <c r="H16" s="361"/>
      <c r="I16" s="362">
        <f>SUM(I17:I26)</f>
        <v>777219.22</v>
      </c>
      <c r="J16" s="362">
        <f t="shared" ref="J16:O16" si="2">SUM(J17:J26)</f>
        <v>40000</v>
      </c>
      <c r="K16" s="362">
        <f t="shared" si="2"/>
        <v>40000</v>
      </c>
      <c r="L16" s="362">
        <f t="shared" si="2"/>
        <v>2924.01</v>
      </c>
      <c r="M16" s="362">
        <f t="shared" si="2"/>
        <v>2924.01</v>
      </c>
      <c r="N16" s="362">
        <f t="shared" si="2"/>
        <v>0</v>
      </c>
      <c r="O16" s="362">
        <f t="shared" si="2"/>
        <v>691371.2</v>
      </c>
    </row>
    <row r="17" spans="1:15" s="353" customFormat="1" ht="150" x14ac:dyDescent="0.2">
      <c r="A17" s="346">
        <v>1</v>
      </c>
      <c r="B17" s="347" t="s">
        <v>1657</v>
      </c>
      <c r="C17" s="348" t="s">
        <v>1662</v>
      </c>
      <c r="D17" s="346" t="s">
        <v>1663</v>
      </c>
      <c r="E17" s="349" t="s">
        <v>1664</v>
      </c>
      <c r="F17" s="350" t="s">
        <v>360</v>
      </c>
      <c r="G17" s="350" t="s">
        <v>1665</v>
      </c>
      <c r="H17" s="351" t="s">
        <v>1929</v>
      </c>
      <c r="I17" s="352">
        <v>237500</v>
      </c>
      <c r="J17" s="352">
        <v>19000</v>
      </c>
      <c r="K17" s="352">
        <v>19000</v>
      </c>
      <c r="L17" s="352">
        <v>0</v>
      </c>
      <c r="M17" s="352">
        <v>0</v>
      </c>
      <c r="N17" s="352">
        <v>0</v>
      </c>
      <c r="O17" s="352">
        <f t="shared" ref="O17:O26" si="3">+I17-(SUM(J17:N17))</f>
        <v>199500</v>
      </c>
    </row>
    <row r="18" spans="1:15" s="353" customFormat="1" ht="150" x14ac:dyDescent="0.2">
      <c r="A18" s="346">
        <v>2</v>
      </c>
      <c r="B18" s="347" t="s">
        <v>1671</v>
      </c>
      <c r="C18" s="348" t="s">
        <v>1672</v>
      </c>
      <c r="D18" s="346" t="s">
        <v>1673</v>
      </c>
      <c r="E18" s="349" t="s">
        <v>1115</v>
      </c>
      <c r="F18" s="350" t="s">
        <v>360</v>
      </c>
      <c r="G18" s="350" t="s">
        <v>1116</v>
      </c>
      <c r="H18" s="351" t="s">
        <v>1930</v>
      </c>
      <c r="I18" s="352">
        <v>162319.29999999999</v>
      </c>
      <c r="J18" s="352">
        <v>0</v>
      </c>
      <c r="K18" s="352">
        <v>0</v>
      </c>
      <c r="L18" s="352">
        <v>2924.01</v>
      </c>
      <c r="M18" s="352">
        <v>2924.01</v>
      </c>
      <c r="N18" s="352">
        <v>0</v>
      </c>
      <c r="O18" s="352">
        <f t="shared" si="3"/>
        <v>156471.28</v>
      </c>
    </row>
    <row r="19" spans="1:15" s="353" customFormat="1" ht="150" x14ac:dyDescent="0.2">
      <c r="A19" s="346">
        <v>3</v>
      </c>
      <c r="B19" s="347" t="s">
        <v>1674</v>
      </c>
      <c r="C19" s="348" t="s">
        <v>1678</v>
      </c>
      <c r="D19" s="346" t="s">
        <v>1679</v>
      </c>
      <c r="E19" s="349" t="s">
        <v>1664</v>
      </c>
      <c r="F19" s="350" t="s">
        <v>360</v>
      </c>
      <c r="G19" s="350" t="s">
        <v>1665</v>
      </c>
      <c r="H19" s="351" t="s">
        <v>1931</v>
      </c>
      <c r="I19" s="352">
        <v>12500</v>
      </c>
      <c r="J19" s="352">
        <v>1000</v>
      </c>
      <c r="K19" s="352">
        <v>1000</v>
      </c>
      <c r="L19" s="352">
        <v>0</v>
      </c>
      <c r="M19" s="352">
        <v>0</v>
      </c>
      <c r="N19" s="352">
        <v>0</v>
      </c>
      <c r="O19" s="352">
        <f t="shared" si="3"/>
        <v>10500</v>
      </c>
    </row>
    <row r="20" spans="1:15" s="353" customFormat="1" ht="150" x14ac:dyDescent="0.2">
      <c r="A20" s="346">
        <v>4</v>
      </c>
      <c r="B20" s="347" t="s">
        <v>1680</v>
      </c>
      <c r="C20" s="348" t="s">
        <v>1681</v>
      </c>
      <c r="D20" s="346" t="s">
        <v>1682</v>
      </c>
      <c r="E20" s="349" t="s">
        <v>1115</v>
      </c>
      <c r="F20" s="350" t="s">
        <v>360</v>
      </c>
      <c r="G20" s="350" t="s">
        <v>1116</v>
      </c>
      <c r="H20" s="351" t="s">
        <v>1932</v>
      </c>
      <c r="I20" s="352">
        <v>64927.72</v>
      </c>
      <c r="J20" s="352">
        <v>0</v>
      </c>
      <c r="K20" s="352">
        <v>0</v>
      </c>
      <c r="L20" s="352">
        <v>0</v>
      </c>
      <c r="M20" s="352">
        <v>0</v>
      </c>
      <c r="N20" s="355" t="s">
        <v>1683</v>
      </c>
      <c r="O20" s="352">
        <f t="shared" si="3"/>
        <v>64927.72</v>
      </c>
    </row>
    <row r="21" spans="1:15" s="353" customFormat="1" ht="150" x14ac:dyDescent="0.2">
      <c r="A21" s="346">
        <v>5</v>
      </c>
      <c r="B21" s="347" t="s">
        <v>1680</v>
      </c>
      <c r="C21" s="348" t="s">
        <v>1684</v>
      </c>
      <c r="D21" s="346" t="s">
        <v>1682</v>
      </c>
      <c r="E21" s="349" t="s">
        <v>1115</v>
      </c>
      <c r="F21" s="350" t="s">
        <v>360</v>
      </c>
      <c r="G21" s="350" t="s">
        <v>1116</v>
      </c>
      <c r="H21" s="351" t="s">
        <v>1933</v>
      </c>
      <c r="I21" s="352">
        <v>12486.1</v>
      </c>
      <c r="J21" s="352">
        <v>0</v>
      </c>
      <c r="K21" s="352">
        <v>0</v>
      </c>
      <c r="L21" s="352">
        <v>0</v>
      </c>
      <c r="M21" s="352">
        <v>0</v>
      </c>
      <c r="N21" s="355" t="s">
        <v>1683</v>
      </c>
      <c r="O21" s="352">
        <f t="shared" si="3"/>
        <v>12486.1</v>
      </c>
    </row>
    <row r="22" spans="1:15" s="353" customFormat="1" ht="150" x14ac:dyDescent="0.2">
      <c r="A22" s="346">
        <v>6</v>
      </c>
      <c r="B22" s="347" t="s">
        <v>1680</v>
      </c>
      <c r="C22" s="348" t="s">
        <v>1685</v>
      </c>
      <c r="D22" s="346" t="s">
        <v>1682</v>
      </c>
      <c r="E22" s="349" t="s">
        <v>1115</v>
      </c>
      <c r="F22" s="350" t="s">
        <v>360</v>
      </c>
      <c r="G22" s="350" t="s">
        <v>1116</v>
      </c>
      <c r="H22" s="351" t="s">
        <v>1934</v>
      </c>
      <c r="I22" s="352">
        <v>4994.4399999999996</v>
      </c>
      <c r="J22" s="352">
        <v>0</v>
      </c>
      <c r="K22" s="352">
        <v>0</v>
      </c>
      <c r="L22" s="352">
        <v>0</v>
      </c>
      <c r="M22" s="352">
        <v>0</v>
      </c>
      <c r="N22" s="355" t="s">
        <v>1683</v>
      </c>
      <c r="O22" s="352">
        <f t="shared" si="3"/>
        <v>4994.4399999999996</v>
      </c>
    </row>
    <row r="23" spans="1:15" s="353" customFormat="1" ht="150" x14ac:dyDescent="0.2">
      <c r="A23" s="346">
        <v>7</v>
      </c>
      <c r="B23" s="347" t="s">
        <v>1749</v>
      </c>
      <c r="C23" s="348" t="s">
        <v>1753</v>
      </c>
      <c r="D23" s="346" t="s">
        <v>1754</v>
      </c>
      <c r="E23" s="349" t="s">
        <v>1115</v>
      </c>
      <c r="F23" s="350" t="s">
        <v>360</v>
      </c>
      <c r="G23" s="350" t="s">
        <v>1116</v>
      </c>
      <c r="H23" s="351" t="s">
        <v>1935</v>
      </c>
      <c r="I23" s="352">
        <v>7491.66</v>
      </c>
      <c r="J23" s="352">
        <v>0</v>
      </c>
      <c r="K23" s="352">
        <v>0</v>
      </c>
      <c r="L23" s="352">
        <v>0</v>
      </c>
      <c r="M23" s="352">
        <v>0</v>
      </c>
      <c r="N23" s="355" t="s">
        <v>1683</v>
      </c>
      <c r="O23" s="352">
        <f t="shared" si="3"/>
        <v>7491.66</v>
      </c>
    </row>
    <row r="24" spans="1:15" s="353" customFormat="1" ht="150" x14ac:dyDescent="0.2">
      <c r="A24" s="346">
        <v>8</v>
      </c>
      <c r="B24" s="347" t="s">
        <v>1778</v>
      </c>
      <c r="C24" s="348" t="s">
        <v>1779</v>
      </c>
      <c r="D24" s="346" t="s">
        <v>1780</v>
      </c>
      <c r="E24" s="349" t="s">
        <v>1664</v>
      </c>
      <c r="F24" s="350" t="s">
        <v>360</v>
      </c>
      <c r="G24" s="350" t="s">
        <v>1781</v>
      </c>
      <c r="H24" s="351" t="s">
        <v>1936</v>
      </c>
      <c r="I24" s="352">
        <v>150000</v>
      </c>
      <c r="J24" s="352">
        <v>12000</v>
      </c>
      <c r="K24" s="352">
        <v>12000</v>
      </c>
      <c r="L24" s="352">
        <v>0</v>
      </c>
      <c r="M24" s="352">
        <v>0</v>
      </c>
      <c r="N24" s="352">
        <v>0</v>
      </c>
      <c r="O24" s="352">
        <f t="shared" si="3"/>
        <v>126000</v>
      </c>
    </row>
    <row r="25" spans="1:15" s="353" customFormat="1" ht="150" x14ac:dyDescent="0.2">
      <c r="A25" s="346">
        <v>9</v>
      </c>
      <c r="B25" s="347" t="s">
        <v>1820</v>
      </c>
      <c r="C25" s="348" t="s">
        <v>1821</v>
      </c>
      <c r="D25" s="346" t="s">
        <v>1822</v>
      </c>
      <c r="E25" s="349" t="s">
        <v>1664</v>
      </c>
      <c r="F25" s="350" t="s">
        <v>360</v>
      </c>
      <c r="G25" s="350" t="s">
        <v>1781</v>
      </c>
      <c r="H25" s="351" t="s">
        <v>1937</v>
      </c>
      <c r="I25" s="352">
        <v>100000</v>
      </c>
      <c r="J25" s="352">
        <v>8000</v>
      </c>
      <c r="K25" s="352">
        <v>8000</v>
      </c>
      <c r="L25" s="352">
        <v>0</v>
      </c>
      <c r="M25" s="352">
        <v>0</v>
      </c>
      <c r="N25" s="352">
        <v>0</v>
      </c>
      <c r="O25" s="352">
        <f t="shared" si="3"/>
        <v>84000</v>
      </c>
    </row>
    <row r="26" spans="1:15" s="353" customFormat="1" ht="150" x14ac:dyDescent="0.2">
      <c r="A26" s="346">
        <v>10</v>
      </c>
      <c r="B26" s="347">
        <v>243161</v>
      </c>
      <c r="C26" s="348" t="s">
        <v>1109</v>
      </c>
      <c r="D26" s="346" t="s">
        <v>1852</v>
      </c>
      <c r="E26" s="349" t="s">
        <v>1664</v>
      </c>
      <c r="F26" s="350" t="s">
        <v>360</v>
      </c>
      <c r="G26" s="350" t="s">
        <v>1781</v>
      </c>
      <c r="H26" s="351" t="s">
        <v>1938</v>
      </c>
      <c r="I26" s="352">
        <v>25000</v>
      </c>
      <c r="J26" s="352">
        <v>0</v>
      </c>
      <c r="K26" s="352">
        <v>0</v>
      </c>
      <c r="L26" s="352">
        <v>0</v>
      </c>
      <c r="M26" s="352">
        <v>0</v>
      </c>
      <c r="N26" s="355" t="s">
        <v>1853</v>
      </c>
      <c r="O26" s="352">
        <f t="shared" si="3"/>
        <v>25000</v>
      </c>
    </row>
    <row r="27" spans="1:15" s="353" customFormat="1" x14ac:dyDescent="0.2">
      <c r="A27" s="356" t="s">
        <v>1693</v>
      </c>
      <c r="B27" s="357"/>
      <c r="C27" s="358"/>
      <c r="D27" s="359"/>
      <c r="E27" s="356"/>
      <c r="F27" s="360"/>
      <c r="G27" s="360"/>
      <c r="H27" s="361"/>
      <c r="I27" s="362">
        <f t="shared" ref="I27:O27" si="4">SUM(I28:I51)</f>
        <v>8462923.2699999996</v>
      </c>
      <c r="J27" s="362">
        <f t="shared" si="4"/>
        <v>241939.98999999996</v>
      </c>
      <c r="K27" s="362">
        <f t="shared" si="4"/>
        <v>241939.98999999996</v>
      </c>
      <c r="L27" s="362">
        <f t="shared" si="4"/>
        <v>289791</v>
      </c>
      <c r="M27" s="362">
        <f t="shared" si="4"/>
        <v>289791</v>
      </c>
      <c r="N27" s="362">
        <f t="shared" si="4"/>
        <v>0</v>
      </c>
      <c r="O27" s="362">
        <f t="shared" si="4"/>
        <v>7399461.29</v>
      </c>
    </row>
    <row r="28" spans="1:15" s="353" customFormat="1" ht="131.25" x14ac:dyDescent="0.2">
      <c r="A28" s="346">
        <v>1</v>
      </c>
      <c r="B28" s="347" t="s">
        <v>905</v>
      </c>
      <c r="C28" s="348" t="s">
        <v>906</v>
      </c>
      <c r="D28" s="346" t="s">
        <v>907</v>
      </c>
      <c r="E28" s="349" t="s">
        <v>647</v>
      </c>
      <c r="F28" s="350" t="s">
        <v>161</v>
      </c>
      <c r="G28" s="350" t="s">
        <v>908</v>
      </c>
      <c r="H28" s="351" t="s">
        <v>1939</v>
      </c>
      <c r="I28" s="352">
        <f>60000+540000</f>
        <v>600000</v>
      </c>
      <c r="J28" s="352">
        <v>30000</v>
      </c>
      <c r="K28" s="352">
        <v>30000</v>
      </c>
      <c r="L28" s="352">
        <v>0</v>
      </c>
      <c r="M28" s="352">
        <v>0</v>
      </c>
      <c r="N28" s="352">
        <v>0</v>
      </c>
      <c r="O28" s="352">
        <f t="shared" ref="O28:O51" si="5">+I28-(SUM(J28:N28))</f>
        <v>540000</v>
      </c>
    </row>
    <row r="29" spans="1:15" s="353" customFormat="1" ht="112.5" x14ac:dyDescent="0.2">
      <c r="A29" s="346">
        <v>2</v>
      </c>
      <c r="B29" s="347" t="s">
        <v>905</v>
      </c>
      <c r="C29" s="348" t="s">
        <v>909</v>
      </c>
      <c r="D29" s="346" t="s">
        <v>910</v>
      </c>
      <c r="E29" s="349" t="s">
        <v>911</v>
      </c>
      <c r="F29" s="350" t="s">
        <v>161</v>
      </c>
      <c r="G29" s="350" t="s">
        <v>908</v>
      </c>
      <c r="H29" s="351" t="s">
        <v>1940</v>
      </c>
      <c r="I29" s="352">
        <f>34190+307710</f>
        <v>341900</v>
      </c>
      <c r="J29" s="352">
        <v>17095</v>
      </c>
      <c r="K29" s="352">
        <v>17095</v>
      </c>
      <c r="L29" s="352">
        <v>0</v>
      </c>
      <c r="M29" s="352">
        <v>0</v>
      </c>
      <c r="N29" s="352">
        <v>0</v>
      </c>
      <c r="O29" s="352">
        <f t="shared" si="5"/>
        <v>307710</v>
      </c>
    </row>
    <row r="30" spans="1:15" s="353" customFormat="1" ht="93.75" x14ac:dyDescent="0.2">
      <c r="A30" s="346">
        <v>3</v>
      </c>
      <c r="B30" s="347" t="s">
        <v>905</v>
      </c>
      <c r="C30" s="348" t="s">
        <v>912</v>
      </c>
      <c r="D30" s="346" t="s">
        <v>913</v>
      </c>
      <c r="E30" s="349" t="s">
        <v>914</v>
      </c>
      <c r="F30" s="350" t="s">
        <v>161</v>
      </c>
      <c r="G30" s="350" t="s">
        <v>915</v>
      </c>
      <c r="H30" s="351" t="s">
        <v>1941</v>
      </c>
      <c r="I30" s="352">
        <v>10000</v>
      </c>
      <c r="J30" s="352">
        <v>800</v>
      </c>
      <c r="K30" s="352">
        <v>800</v>
      </c>
      <c r="L30" s="352">
        <v>0</v>
      </c>
      <c r="M30" s="352">
        <v>0</v>
      </c>
      <c r="N30" s="352">
        <v>0</v>
      </c>
      <c r="O30" s="352">
        <f t="shared" si="5"/>
        <v>8400</v>
      </c>
    </row>
    <row r="31" spans="1:15" s="353" customFormat="1" ht="131.25" x14ac:dyDescent="0.2">
      <c r="A31" s="346">
        <v>4</v>
      </c>
      <c r="B31" s="347" t="s">
        <v>1623</v>
      </c>
      <c r="C31" s="348" t="s">
        <v>1624</v>
      </c>
      <c r="D31" s="346" t="s">
        <v>1625</v>
      </c>
      <c r="E31" s="349" t="s">
        <v>969</v>
      </c>
      <c r="F31" s="350" t="s">
        <v>161</v>
      </c>
      <c r="G31" s="350" t="s">
        <v>1626</v>
      </c>
      <c r="H31" s="351" t="s">
        <v>1942</v>
      </c>
      <c r="I31" s="352">
        <v>39546</v>
      </c>
      <c r="J31" s="352">
        <v>1977.3</v>
      </c>
      <c r="K31" s="352">
        <v>1977.3</v>
      </c>
      <c r="L31" s="352">
        <v>0</v>
      </c>
      <c r="M31" s="352">
        <v>0</v>
      </c>
      <c r="N31" s="352">
        <v>0</v>
      </c>
      <c r="O31" s="352">
        <f t="shared" si="5"/>
        <v>35591.4</v>
      </c>
    </row>
    <row r="32" spans="1:15" s="353" customFormat="1" ht="93.75" x14ac:dyDescent="0.2">
      <c r="A32" s="346">
        <v>5</v>
      </c>
      <c r="B32" s="347" t="s">
        <v>1649</v>
      </c>
      <c r="C32" s="348" t="s">
        <v>1650</v>
      </c>
      <c r="D32" s="346" t="s">
        <v>1651</v>
      </c>
      <c r="E32" s="349" t="s">
        <v>914</v>
      </c>
      <c r="F32" s="350" t="s">
        <v>161</v>
      </c>
      <c r="G32" s="350" t="s">
        <v>915</v>
      </c>
      <c r="H32" s="351" t="s">
        <v>1943</v>
      </c>
      <c r="I32" s="352">
        <v>10000</v>
      </c>
      <c r="J32" s="352">
        <v>800</v>
      </c>
      <c r="K32" s="352">
        <v>800</v>
      </c>
      <c r="L32" s="352">
        <v>0</v>
      </c>
      <c r="M32" s="352">
        <v>0</v>
      </c>
      <c r="N32" s="352">
        <v>0</v>
      </c>
      <c r="O32" s="352">
        <f t="shared" si="5"/>
        <v>8400</v>
      </c>
    </row>
    <row r="33" spans="1:15" s="353" customFormat="1" ht="93.75" x14ac:dyDescent="0.2">
      <c r="A33" s="346">
        <v>6</v>
      </c>
      <c r="B33" s="347" t="s">
        <v>1657</v>
      </c>
      <c r="C33" s="348" t="s">
        <v>1658</v>
      </c>
      <c r="D33" s="346" t="s">
        <v>1659</v>
      </c>
      <c r="E33" s="349" t="s">
        <v>1660</v>
      </c>
      <c r="F33" s="350" t="s">
        <v>161</v>
      </c>
      <c r="G33" s="350" t="s">
        <v>1103</v>
      </c>
      <c r="H33" s="351" t="s">
        <v>1661</v>
      </c>
      <c r="I33" s="352">
        <v>41000</v>
      </c>
      <c r="J33" s="352">
        <v>0</v>
      </c>
      <c r="K33" s="352">
        <v>0</v>
      </c>
      <c r="L33" s="352">
        <v>20500</v>
      </c>
      <c r="M33" s="352">
        <v>20500</v>
      </c>
      <c r="N33" s="352">
        <v>0</v>
      </c>
      <c r="O33" s="352">
        <f t="shared" si="5"/>
        <v>0</v>
      </c>
    </row>
    <row r="34" spans="1:15" s="353" customFormat="1" ht="112.5" x14ac:dyDescent="0.2">
      <c r="A34" s="346">
        <v>7</v>
      </c>
      <c r="B34" s="347" t="s">
        <v>1657</v>
      </c>
      <c r="C34" s="348" t="s">
        <v>1668</v>
      </c>
      <c r="D34" s="346" t="s">
        <v>1669</v>
      </c>
      <c r="E34" s="349" t="s">
        <v>1018</v>
      </c>
      <c r="F34" s="350" t="s">
        <v>161</v>
      </c>
      <c r="G34" s="350" t="s">
        <v>1670</v>
      </c>
      <c r="H34" s="351" t="s">
        <v>1944</v>
      </c>
      <c r="I34" s="352">
        <v>80000</v>
      </c>
      <c r="J34" s="352">
        <v>4000</v>
      </c>
      <c r="K34" s="352">
        <v>4000</v>
      </c>
      <c r="L34" s="352">
        <v>0</v>
      </c>
      <c r="M34" s="352">
        <v>0</v>
      </c>
      <c r="N34" s="352">
        <v>0</v>
      </c>
      <c r="O34" s="352">
        <f t="shared" si="5"/>
        <v>72000</v>
      </c>
    </row>
    <row r="35" spans="1:15" s="353" customFormat="1" ht="131.25" x14ac:dyDescent="0.2">
      <c r="A35" s="346">
        <v>8</v>
      </c>
      <c r="B35" s="347" t="s">
        <v>1680</v>
      </c>
      <c r="C35" s="348" t="s">
        <v>1686</v>
      </c>
      <c r="D35" s="346" t="s">
        <v>1687</v>
      </c>
      <c r="E35" s="349" t="s">
        <v>1688</v>
      </c>
      <c r="F35" s="350" t="s">
        <v>161</v>
      </c>
      <c r="G35" s="350" t="s">
        <v>1689</v>
      </c>
      <c r="H35" s="351" t="s">
        <v>1945</v>
      </c>
      <c r="I35" s="352">
        <v>216000</v>
      </c>
      <c r="J35" s="352">
        <v>0</v>
      </c>
      <c r="K35" s="352">
        <v>0</v>
      </c>
      <c r="L35" s="352">
        <v>0</v>
      </c>
      <c r="M35" s="352">
        <v>0</v>
      </c>
      <c r="N35" s="355" t="s">
        <v>1748</v>
      </c>
      <c r="O35" s="352">
        <f t="shared" si="5"/>
        <v>216000</v>
      </c>
    </row>
    <row r="36" spans="1:15" s="353" customFormat="1" ht="112.5" x14ac:dyDescent="0.2">
      <c r="A36" s="346">
        <v>9</v>
      </c>
      <c r="B36" s="347" t="s">
        <v>1690</v>
      </c>
      <c r="C36" s="348" t="s">
        <v>1691</v>
      </c>
      <c r="D36" s="346" t="s">
        <v>1692</v>
      </c>
      <c r="E36" s="349" t="s">
        <v>914</v>
      </c>
      <c r="F36" s="350" t="s">
        <v>1693</v>
      </c>
      <c r="G36" s="350" t="s">
        <v>1689</v>
      </c>
      <c r="H36" s="351" t="s">
        <v>1946</v>
      </c>
      <c r="I36" s="352">
        <v>1000000</v>
      </c>
      <c r="J36" s="352">
        <v>80000</v>
      </c>
      <c r="K36" s="352">
        <v>80000</v>
      </c>
      <c r="L36" s="352">
        <v>0</v>
      </c>
      <c r="M36" s="352">
        <v>0</v>
      </c>
      <c r="N36" s="352">
        <v>0</v>
      </c>
      <c r="O36" s="352">
        <f>+I36-(SUM(J36:N36))</f>
        <v>840000</v>
      </c>
    </row>
    <row r="37" spans="1:15" s="353" customFormat="1" ht="131.25" x14ac:dyDescent="0.2">
      <c r="A37" s="346">
        <v>10</v>
      </c>
      <c r="B37" s="347" t="s">
        <v>1755</v>
      </c>
      <c r="C37" s="348" t="s">
        <v>1756</v>
      </c>
      <c r="D37" s="346" t="s">
        <v>1757</v>
      </c>
      <c r="E37" s="349" t="s">
        <v>914</v>
      </c>
      <c r="F37" s="350" t="s">
        <v>1693</v>
      </c>
      <c r="G37" s="350" t="s">
        <v>1758</v>
      </c>
      <c r="H37" s="351" t="s">
        <v>1947</v>
      </c>
      <c r="I37" s="352">
        <v>794865</v>
      </c>
      <c r="J37" s="352">
        <v>0</v>
      </c>
      <c r="K37" s="352">
        <v>0</v>
      </c>
      <c r="L37" s="352">
        <v>59614.879999999997</v>
      </c>
      <c r="M37" s="352">
        <v>59614.87</v>
      </c>
      <c r="N37" s="352">
        <v>0</v>
      </c>
      <c r="O37" s="352">
        <f>+I37-(SUM(J37:N37))</f>
        <v>675635.25</v>
      </c>
    </row>
    <row r="38" spans="1:15" s="353" customFormat="1" ht="112.5" x14ac:dyDescent="0.2">
      <c r="A38" s="346">
        <v>11</v>
      </c>
      <c r="B38" s="347" t="s">
        <v>1769</v>
      </c>
      <c r="C38" s="348" t="s">
        <v>1770</v>
      </c>
      <c r="D38" s="346" t="s">
        <v>1771</v>
      </c>
      <c r="E38" s="349" t="s">
        <v>957</v>
      </c>
      <c r="F38" s="350" t="s">
        <v>1693</v>
      </c>
      <c r="G38" s="350" t="s">
        <v>1198</v>
      </c>
      <c r="H38" s="351" t="s">
        <v>1948</v>
      </c>
      <c r="I38" s="352">
        <v>139696</v>
      </c>
      <c r="J38" s="352">
        <v>6984.8</v>
      </c>
      <c r="K38" s="352">
        <v>6984.8</v>
      </c>
      <c r="L38" s="352">
        <v>0</v>
      </c>
      <c r="M38" s="352">
        <v>0</v>
      </c>
      <c r="N38" s="352">
        <v>0</v>
      </c>
      <c r="O38" s="352">
        <f>+I38-(SUM(J38:N38))</f>
        <v>125726.39999999999</v>
      </c>
    </row>
    <row r="39" spans="1:15" s="353" customFormat="1" ht="187.5" x14ac:dyDescent="0.2">
      <c r="A39" s="346">
        <v>12</v>
      </c>
      <c r="B39" s="347" t="s">
        <v>1782</v>
      </c>
      <c r="C39" s="348" t="s">
        <v>1787</v>
      </c>
      <c r="D39" s="346" t="s">
        <v>1788</v>
      </c>
      <c r="E39" s="349" t="s">
        <v>1789</v>
      </c>
      <c r="F39" s="350" t="s">
        <v>161</v>
      </c>
      <c r="G39" s="350" t="s">
        <v>930</v>
      </c>
      <c r="H39" s="351" t="s">
        <v>1949</v>
      </c>
      <c r="I39" s="352">
        <v>94526.5</v>
      </c>
      <c r="J39" s="352">
        <v>0</v>
      </c>
      <c r="K39" s="352">
        <v>0</v>
      </c>
      <c r="L39" s="352">
        <v>0</v>
      </c>
      <c r="M39" s="352">
        <v>0</v>
      </c>
      <c r="N39" s="355" t="s">
        <v>1786</v>
      </c>
      <c r="O39" s="352">
        <f t="shared" si="5"/>
        <v>94526.5</v>
      </c>
    </row>
    <row r="40" spans="1:15" s="353" customFormat="1" ht="168.75" x14ac:dyDescent="0.2">
      <c r="A40" s="346">
        <v>13</v>
      </c>
      <c r="B40" s="347" t="s">
        <v>1782</v>
      </c>
      <c r="C40" s="348" t="s">
        <v>1787</v>
      </c>
      <c r="D40" s="346" t="s">
        <v>1788</v>
      </c>
      <c r="E40" s="349" t="s">
        <v>1790</v>
      </c>
      <c r="F40" s="350" t="s">
        <v>161</v>
      </c>
      <c r="G40" s="350" t="s">
        <v>930</v>
      </c>
      <c r="H40" s="351" t="s">
        <v>1950</v>
      </c>
      <c r="I40" s="352">
        <v>416753</v>
      </c>
      <c r="J40" s="352">
        <v>0</v>
      </c>
      <c r="K40" s="352">
        <v>0</v>
      </c>
      <c r="L40" s="352">
        <v>0</v>
      </c>
      <c r="M40" s="352">
        <v>0</v>
      </c>
      <c r="N40" s="355" t="s">
        <v>1786</v>
      </c>
      <c r="O40" s="352">
        <f t="shared" si="5"/>
        <v>416753</v>
      </c>
    </row>
    <row r="41" spans="1:15" s="353" customFormat="1" ht="131.25" x14ac:dyDescent="0.2">
      <c r="A41" s="346">
        <v>14</v>
      </c>
      <c r="B41" s="347" t="s">
        <v>1804</v>
      </c>
      <c r="C41" s="348" t="s">
        <v>1805</v>
      </c>
      <c r="D41" s="346" t="s">
        <v>1806</v>
      </c>
      <c r="E41" s="349" t="s">
        <v>914</v>
      </c>
      <c r="F41" s="350" t="s">
        <v>1693</v>
      </c>
      <c r="G41" s="350" t="s">
        <v>1752</v>
      </c>
      <c r="H41" s="351" t="s">
        <v>1951</v>
      </c>
      <c r="I41" s="352">
        <v>610000</v>
      </c>
      <c r="J41" s="352">
        <v>48800</v>
      </c>
      <c r="K41" s="352">
        <v>48800</v>
      </c>
      <c r="L41" s="352">
        <v>0</v>
      </c>
      <c r="M41" s="352">
        <v>0</v>
      </c>
      <c r="N41" s="352">
        <v>0</v>
      </c>
      <c r="O41" s="352">
        <f>+I41-(SUM(J41:N41))</f>
        <v>512400</v>
      </c>
    </row>
    <row r="42" spans="1:15" s="353" customFormat="1" ht="131.25" x14ac:dyDescent="0.2">
      <c r="A42" s="346">
        <v>15</v>
      </c>
      <c r="B42" s="347" t="s">
        <v>1807</v>
      </c>
      <c r="C42" s="348" t="s">
        <v>1808</v>
      </c>
      <c r="D42" s="346" t="s">
        <v>1809</v>
      </c>
      <c r="E42" s="349" t="s">
        <v>1810</v>
      </c>
      <c r="F42" s="350" t="s">
        <v>161</v>
      </c>
      <c r="G42" s="350" t="s">
        <v>1763</v>
      </c>
      <c r="H42" s="351" t="s">
        <v>1952</v>
      </c>
      <c r="I42" s="352">
        <v>1122274</v>
      </c>
      <c r="J42" s="352">
        <v>0</v>
      </c>
      <c r="K42" s="352">
        <v>0</v>
      </c>
      <c r="L42" s="352">
        <v>0</v>
      </c>
      <c r="M42" s="352">
        <v>0</v>
      </c>
      <c r="N42" s="355" t="s">
        <v>1786</v>
      </c>
      <c r="O42" s="352">
        <f t="shared" si="5"/>
        <v>1122274</v>
      </c>
    </row>
    <row r="43" spans="1:15" s="353" customFormat="1" ht="112.5" x14ac:dyDescent="0.2">
      <c r="A43" s="346">
        <v>16</v>
      </c>
      <c r="B43" s="347" t="s">
        <v>1826</v>
      </c>
      <c r="C43" s="348" t="s">
        <v>1827</v>
      </c>
      <c r="D43" s="346" t="s">
        <v>1828</v>
      </c>
      <c r="E43" s="349" t="s">
        <v>1018</v>
      </c>
      <c r="F43" s="350" t="s">
        <v>161</v>
      </c>
      <c r="G43" s="350" t="s">
        <v>1670</v>
      </c>
      <c r="H43" s="351" t="s">
        <v>1953</v>
      </c>
      <c r="I43" s="352">
        <v>90000</v>
      </c>
      <c r="J43" s="352">
        <v>0</v>
      </c>
      <c r="K43" s="352">
        <v>0</v>
      </c>
      <c r="L43" s="352">
        <v>3156</v>
      </c>
      <c r="M43" s="352">
        <v>3156</v>
      </c>
      <c r="N43" s="352">
        <v>0</v>
      </c>
      <c r="O43" s="352">
        <f t="shared" si="5"/>
        <v>83688</v>
      </c>
    </row>
    <row r="44" spans="1:15" s="353" customFormat="1" ht="75" x14ac:dyDescent="0.2">
      <c r="A44" s="346">
        <v>17</v>
      </c>
      <c r="B44" s="347" t="s">
        <v>1829</v>
      </c>
      <c r="C44" s="348" t="s">
        <v>1830</v>
      </c>
      <c r="D44" s="346" t="s">
        <v>1831</v>
      </c>
      <c r="E44" s="349" t="s">
        <v>1832</v>
      </c>
      <c r="F44" s="350" t="s">
        <v>161</v>
      </c>
      <c r="G44" s="350" t="s">
        <v>1103</v>
      </c>
      <c r="H44" s="351" t="s">
        <v>1833</v>
      </c>
      <c r="I44" s="352">
        <v>113920</v>
      </c>
      <c r="J44" s="352">
        <v>0</v>
      </c>
      <c r="K44" s="352">
        <v>0</v>
      </c>
      <c r="L44" s="352">
        <v>56960</v>
      </c>
      <c r="M44" s="352">
        <v>56960</v>
      </c>
      <c r="N44" s="352">
        <v>0</v>
      </c>
      <c r="O44" s="352">
        <f t="shared" si="5"/>
        <v>0</v>
      </c>
    </row>
    <row r="45" spans="1:15" s="353" customFormat="1" ht="131.25" x14ac:dyDescent="0.2">
      <c r="A45" s="346">
        <v>18</v>
      </c>
      <c r="B45" s="347">
        <v>243161</v>
      </c>
      <c r="C45" s="348" t="s">
        <v>1109</v>
      </c>
      <c r="D45" s="346" t="s">
        <v>1838</v>
      </c>
      <c r="E45" s="349" t="s">
        <v>914</v>
      </c>
      <c r="F45" s="350" t="s">
        <v>161</v>
      </c>
      <c r="G45" s="350" t="s">
        <v>1758</v>
      </c>
      <c r="H45" s="351" t="s">
        <v>1954</v>
      </c>
      <c r="I45" s="352">
        <v>1059820</v>
      </c>
      <c r="J45" s="352">
        <v>0</v>
      </c>
      <c r="K45" s="352">
        <v>0</v>
      </c>
      <c r="L45" s="352">
        <v>79486.5</v>
      </c>
      <c r="M45" s="352">
        <v>79486.5</v>
      </c>
      <c r="N45" s="363">
        <v>0</v>
      </c>
      <c r="O45" s="352">
        <f t="shared" si="5"/>
        <v>900847</v>
      </c>
    </row>
    <row r="46" spans="1:15" s="353" customFormat="1" ht="112.5" x14ac:dyDescent="0.2">
      <c r="A46" s="346">
        <v>19</v>
      </c>
      <c r="B46" s="347">
        <v>243161</v>
      </c>
      <c r="C46" s="348" t="s">
        <v>1109</v>
      </c>
      <c r="D46" s="346" t="s">
        <v>1839</v>
      </c>
      <c r="E46" s="349" t="s">
        <v>957</v>
      </c>
      <c r="F46" s="350" t="s">
        <v>161</v>
      </c>
      <c r="G46" s="350" t="s">
        <v>1198</v>
      </c>
      <c r="H46" s="351" t="s">
        <v>1955</v>
      </c>
      <c r="I46" s="352">
        <v>279391</v>
      </c>
      <c r="J46" s="352">
        <v>13969.55</v>
      </c>
      <c r="K46" s="352">
        <v>13969.550000000001</v>
      </c>
      <c r="L46" s="352">
        <v>0</v>
      </c>
      <c r="M46" s="352">
        <v>0</v>
      </c>
      <c r="N46" s="363">
        <v>0</v>
      </c>
      <c r="O46" s="352">
        <f t="shared" si="5"/>
        <v>251451.9</v>
      </c>
    </row>
    <row r="47" spans="1:15" s="353" customFormat="1" ht="168.75" x14ac:dyDescent="0.2">
      <c r="A47" s="346">
        <v>20</v>
      </c>
      <c r="B47" s="347">
        <v>243161</v>
      </c>
      <c r="C47" s="348" t="s">
        <v>1109</v>
      </c>
      <c r="D47" s="346" t="s">
        <v>1840</v>
      </c>
      <c r="E47" s="349" t="s">
        <v>1841</v>
      </c>
      <c r="F47" s="350" t="s">
        <v>161</v>
      </c>
      <c r="G47" s="350" t="s">
        <v>1758</v>
      </c>
      <c r="H47" s="351" t="s">
        <v>1956</v>
      </c>
      <c r="I47" s="352">
        <f>468904.77+12</f>
        <v>468916.77</v>
      </c>
      <c r="J47" s="352">
        <v>37513.339999999997</v>
      </c>
      <c r="K47" s="352">
        <v>37513.339999999997</v>
      </c>
      <c r="L47" s="352">
        <v>0</v>
      </c>
      <c r="M47" s="352">
        <v>0</v>
      </c>
      <c r="N47" s="363">
        <v>0</v>
      </c>
      <c r="O47" s="352">
        <f t="shared" si="5"/>
        <v>393890.09</v>
      </c>
    </row>
    <row r="48" spans="1:15" s="353" customFormat="1" ht="131.25" x14ac:dyDescent="0.2">
      <c r="A48" s="346">
        <v>21</v>
      </c>
      <c r="B48" s="347">
        <v>243161</v>
      </c>
      <c r="C48" s="348" t="s">
        <v>1109</v>
      </c>
      <c r="D48" s="346" t="s">
        <v>1842</v>
      </c>
      <c r="E48" s="349" t="s">
        <v>914</v>
      </c>
      <c r="F48" s="350" t="s">
        <v>161</v>
      </c>
      <c r="G48" s="350" t="s">
        <v>1758</v>
      </c>
      <c r="H48" s="351" t="s">
        <v>1957</v>
      </c>
      <c r="I48" s="352">
        <v>794865</v>
      </c>
      <c r="J48" s="352">
        <v>0</v>
      </c>
      <c r="K48" s="352">
        <v>0</v>
      </c>
      <c r="L48" s="352">
        <v>59614.87</v>
      </c>
      <c r="M48" s="352">
        <v>59614.87</v>
      </c>
      <c r="N48" s="363">
        <v>0</v>
      </c>
      <c r="O48" s="352">
        <f t="shared" si="5"/>
        <v>675635.26</v>
      </c>
    </row>
    <row r="49" spans="1:15" s="353" customFormat="1" ht="150" x14ac:dyDescent="0.2">
      <c r="A49" s="346">
        <v>22</v>
      </c>
      <c r="B49" s="347">
        <v>243161</v>
      </c>
      <c r="C49" s="348" t="s">
        <v>1109</v>
      </c>
      <c r="D49" s="346" t="s">
        <v>1842</v>
      </c>
      <c r="E49" s="349" t="s">
        <v>914</v>
      </c>
      <c r="F49" s="350" t="s">
        <v>161</v>
      </c>
      <c r="G49" s="350" t="s">
        <v>1758</v>
      </c>
      <c r="H49" s="351" t="s">
        <v>1958</v>
      </c>
      <c r="I49" s="352">
        <v>55780</v>
      </c>
      <c r="J49" s="352">
        <v>0</v>
      </c>
      <c r="K49" s="352">
        <v>0</v>
      </c>
      <c r="L49" s="352">
        <v>4183.5</v>
      </c>
      <c r="M49" s="352">
        <v>4183.5</v>
      </c>
      <c r="N49" s="363">
        <v>0</v>
      </c>
      <c r="O49" s="352">
        <f t="shared" si="5"/>
        <v>47413</v>
      </c>
    </row>
    <row r="50" spans="1:15" s="353" customFormat="1" ht="150" x14ac:dyDescent="0.2">
      <c r="A50" s="346">
        <v>23</v>
      </c>
      <c r="B50" s="347">
        <v>243161</v>
      </c>
      <c r="C50" s="348" t="s">
        <v>1109</v>
      </c>
      <c r="D50" s="346" t="s">
        <v>1842</v>
      </c>
      <c r="E50" s="349" t="s">
        <v>914</v>
      </c>
      <c r="F50" s="350" t="s">
        <v>161</v>
      </c>
      <c r="G50" s="350" t="s">
        <v>1758</v>
      </c>
      <c r="H50" s="351" t="s">
        <v>1959</v>
      </c>
      <c r="I50" s="352">
        <v>41835</v>
      </c>
      <c r="J50" s="352">
        <v>0</v>
      </c>
      <c r="K50" s="352">
        <v>0</v>
      </c>
      <c r="L50" s="352">
        <v>3137.63</v>
      </c>
      <c r="M50" s="352">
        <v>3137.63</v>
      </c>
      <c r="N50" s="363">
        <v>0</v>
      </c>
      <c r="O50" s="352">
        <f t="shared" si="5"/>
        <v>35559.74</v>
      </c>
    </row>
    <row r="51" spans="1:15" s="353" customFormat="1" ht="150" x14ac:dyDescent="0.2">
      <c r="A51" s="346">
        <v>24</v>
      </c>
      <c r="B51" s="347">
        <v>243161</v>
      </c>
      <c r="C51" s="348" t="s">
        <v>1109</v>
      </c>
      <c r="D51" s="346" t="s">
        <v>1846</v>
      </c>
      <c r="E51" s="349" t="s">
        <v>914</v>
      </c>
      <c r="F51" s="350" t="s">
        <v>161</v>
      </c>
      <c r="G51" s="350" t="s">
        <v>1758</v>
      </c>
      <c r="H51" s="351" t="s">
        <v>1960</v>
      </c>
      <c r="I51" s="352">
        <v>41835</v>
      </c>
      <c r="J51" s="352">
        <v>0</v>
      </c>
      <c r="K51" s="352">
        <v>0</v>
      </c>
      <c r="L51" s="352">
        <v>3137.62</v>
      </c>
      <c r="M51" s="352">
        <v>3137.63</v>
      </c>
      <c r="N51" s="352">
        <v>0</v>
      </c>
      <c r="O51" s="352">
        <f t="shared" si="5"/>
        <v>35559.75</v>
      </c>
    </row>
    <row r="52" spans="1:15" s="353" customFormat="1" x14ac:dyDescent="0.2">
      <c r="A52" s="356" t="s">
        <v>512</v>
      </c>
      <c r="B52" s="357"/>
      <c r="C52" s="358"/>
      <c r="D52" s="359"/>
      <c r="E52" s="356"/>
      <c r="F52" s="360"/>
      <c r="G52" s="360"/>
      <c r="H52" s="361"/>
      <c r="I52" s="362">
        <f>SUM(I53:I54)</f>
        <v>345550</v>
      </c>
      <c r="J52" s="362">
        <f t="shared" ref="J52:O52" si="6">SUM(J53:J54)</f>
        <v>1677.5</v>
      </c>
      <c r="K52" s="362">
        <f t="shared" si="6"/>
        <v>1677.5</v>
      </c>
      <c r="L52" s="362">
        <f t="shared" si="6"/>
        <v>0</v>
      </c>
      <c r="M52" s="362">
        <f t="shared" si="6"/>
        <v>0</v>
      </c>
      <c r="N52" s="362">
        <f t="shared" si="6"/>
        <v>0</v>
      </c>
      <c r="O52" s="362">
        <f t="shared" si="6"/>
        <v>342195</v>
      </c>
    </row>
    <row r="53" spans="1:15" s="353" customFormat="1" ht="131.25" x14ac:dyDescent="0.2">
      <c r="A53" s="346">
        <v>1</v>
      </c>
      <c r="B53" s="347" t="s">
        <v>1657</v>
      </c>
      <c r="C53" s="348" t="s">
        <v>1714</v>
      </c>
      <c r="D53" s="346" t="s">
        <v>1715</v>
      </c>
      <c r="E53" s="349" t="s">
        <v>1268</v>
      </c>
      <c r="F53" s="350" t="s">
        <v>512</v>
      </c>
      <c r="G53" s="350" t="s">
        <v>1269</v>
      </c>
      <c r="H53" s="351" t="s">
        <v>1961</v>
      </c>
      <c r="I53" s="352">
        <v>312000</v>
      </c>
      <c r="J53" s="352">
        <v>0</v>
      </c>
      <c r="K53" s="352">
        <v>0</v>
      </c>
      <c r="L53" s="352">
        <v>0</v>
      </c>
      <c r="M53" s="352">
        <v>0</v>
      </c>
      <c r="N53" s="355" t="s">
        <v>1255</v>
      </c>
      <c r="O53" s="352">
        <f>+I53-(SUM(J53:N53))</f>
        <v>312000</v>
      </c>
    </row>
    <row r="54" spans="1:15" s="353" customFormat="1" ht="168.75" x14ac:dyDescent="0.2">
      <c r="A54" s="346">
        <v>2</v>
      </c>
      <c r="B54" s="347" t="s">
        <v>1791</v>
      </c>
      <c r="C54" s="348" t="s">
        <v>1887</v>
      </c>
      <c r="D54" s="346" t="s">
        <v>1888</v>
      </c>
      <c r="E54" s="349" t="s">
        <v>1197</v>
      </c>
      <c r="F54" s="350" t="s">
        <v>156</v>
      </c>
      <c r="G54" s="350" t="s">
        <v>1198</v>
      </c>
      <c r="H54" s="351" t="s">
        <v>1962</v>
      </c>
      <c r="I54" s="352">
        <v>33550</v>
      </c>
      <c r="J54" s="352">
        <v>1677.5</v>
      </c>
      <c r="K54" s="352">
        <v>1677.5</v>
      </c>
      <c r="L54" s="352">
        <v>0</v>
      </c>
      <c r="M54" s="352">
        <v>0</v>
      </c>
      <c r="N54" s="352">
        <v>0</v>
      </c>
      <c r="O54" s="352">
        <f>+I54-(SUM(J54:N54))</f>
        <v>30195</v>
      </c>
    </row>
    <row r="55" spans="1:15" s="353" customFormat="1" x14ac:dyDescent="0.2">
      <c r="A55" s="356" t="s">
        <v>22</v>
      </c>
      <c r="B55" s="357"/>
      <c r="C55" s="358"/>
      <c r="D55" s="359"/>
      <c r="E55" s="356"/>
      <c r="F55" s="360"/>
      <c r="G55" s="360"/>
      <c r="H55" s="361"/>
      <c r="I55" s="362">
        <f>SUM(I56:I75)</f>
        <v>5687959</v>
      </c>
      <c r="J55" s="362">
        <f t="shared" ref="J55:O55" si="7">SUM(J56:J75)</f>
        <v>97970</v>
      </c>
      <c r="K55" s="362">
        <f t="shared" si="7"/>
        <v>97970</v>
      </c>
      <c r="L55" s="362">
        <f t="shared" si="7"/>
        <v>51225</v>
      </c>
      <c r="M55" s="362">
        <f t="shared" si="7"/>
        <v>51225</v>
      </c>
      <c r="N55" s="362">
        <f t="shared" si="7"/>
        <v>0</v>
      </c>
      <c r="O55" s="362">
        <f t="shared" si="7"/>
        <v>5389569</v>
      </c>
    </row>
    <row r="56" spans="1:15" s="353" customFormat="1" ht="75" x14ac:dyDescent="0.2">
      <c r="A56" s="346">
        <v>1</v>
      </c>
      <c r="B56" s="347" t="s">
        <v>916</v>
      </c>
      <c r="C56" s="348" t="s">
        <v>917</v>
      </c>
      <c r="D56" s="346" t="s">
        <v>918</v>
      </c>
      <c r="E56" s="349" t="s">
        <v>451</v>
      </c>
      <c r="F56" s="350" t="s">
        <v>22</v>
      </c>
      <c r="G56" s="350" t="s">
        <v>919</v>
      </c>
      <c r="H56" s="351" t="s">
        <v>1963</v>
      </c>
      <c r="I56" s="352">
        <v>490400</v>
      </c>
      <c r="J56" s="352">
        <v>24520</v>
      </c>
      <c r="K56" s="352">
        <v>24520</v>
      </c>
      <c r="L56" s="352">
        <v>0</v>
      </c>
      <c r="M56" s="352">
        <v>0</v>
      </c>
      <c r="N56" s="352">
        <v>0</v>
      </c>
      <c r="O56" s="352">
        <f t="shared" ref="O56:O75" si="8">+I56-(SUM(J56:N56))</f>
        <v>441360</v>
      </c>
    </row>
    <row r="57" spans="1:15" s="353" customFormat="1" ht="131.25" x14ac:dyDescent="0.2">
      <c r="A57" s="346">
        <v>2</v>
      </c>
      <c r="B57" s="347" t="s">
        <v>1623</v>
      </c>
      <c r="C57" s="348" t="s">
        <v>1699</v>
      </c>
      <c r="D57" s="346" t="s">
        <v>1700</v>
      </c>
      <c r="E57" s="349" t="s">
        <v>451</v>
      </c>
      <c r="F57" s="350" t="s">
        <v>22</v>
      </c>
      <c r="G57" s="350" t="s">
        <v>1701</v>
      </c>
      <c r="H57" s="351" t="s">
        <v>1964</v>
      </c>
      <c r="I57" s="352">
        <v>18000</v>
      </c>
      <c r="J57" s="352">
        <v>1440</v>
      </c>
      <c r="K57" s="352">
        <v>1440</v>
      </c>
      <c r="L57" s="352">
        <v>0</v>
      </c>
      <c r="M57" s="352">
        <v>0</v>
      </c>
      <c r="N57" s="352">
        <v>0</v>
      </c>
      <c r="O57" s="352">
        <f t="shared" si="8"/>
        <v>15120</v>
      </c>
    </row>
    <row r="58" spans="1:15" s="353" customFormat="1" ht="112.5" x14ac:dyDescent="0.2">
      <c r="A58" s="346">
        <v>3</v>
      </c>
      <c r="B58" s="347" t="s">
        <v>1708</v>
      </c>
      <c r="C58" s="348" t="s">
        <v>1709</v>
      </c>
      <c r="D58" s="346" t="s">
        <v>1710</v>
      </c>
      <c r="E58" s="349" t="s">
        <v>475</v>
      </c>
      <c r="F58" s="350" t="s">
        <v>22</v>
      </c>
      <c r="G58" s="350" t="s">
        <v>493</v>
      </c>
      <c r="H58" s="351" t="s">
        <v>1965</v>
      </c>
      <c r="I58" s="352">
        <v>18000</v>
      </c>
      <c r="J58" s="352">
        <v>0</v>
      </c>
      <c r="K58" s="352">
        <v>0</v>
      </c>
      <c r="L58" s="352">
        <v>0</v>
      </c>
      <c r="M58" s="352">
        <v>0</v>
      </c>
      <c r="N58" s="355" t="s">
        <v>1189</v>
      </c>
      <c r="O58" s="352">
        <f t="shared" si="8"/>
        <v>18000</v>
      </c>
    </row>
    <row r="59" spans="1:15" s="353" customFormat="1" ht="168.75" x14ac:dyDescent="0.2">
      <c r="A59" s="346">
        <v>4</v>
      </c>
      <c r="B59" s="347" t="s">
        <v>1680</v>
      </c>
      <c r="C59" s="348" t="s">
        <v>1686</v>
      </c>
      <c r="D59" s="346" t="s">
        <v>1687</v>
      </c>
      <c r="E59" s="349" t="s">
        <v>1724</v>
      </c>
      <c r="F59" s="350" t="s">
        <v>22</v>
      </c>
      <c r="G59" s="350" t="s">
        <v>1689</v>
      </c>
      <c r="H59" s="351" t="s">
        <v>1966</v>
      </c>
      <c r="I59" s="352">
        <v>360000</v>
      </c>
      <c r="J59" s="352">
        <v>0</v>
      </c>
      <c r="K59" s="352">
        <v>0</v>
      </c>
      <c r="L59" s="352">
        <v>0</v>
      </c>
      <c r="M59" s="352">
        <v>0</v>
      </c>
      <c r="N59" s="355" t="s">
        <v>1748</v>
      </c>
      <c r="O59" s="352">
        <f t="shared" si="8"/>
        <v>360000</v>
      </c>
    </row>
    <row r="60" spans="1:15" s="353" customFormat="1" ht="112.5" x14ac:dyDescent="0.2">
      <c r="A60" s="346">
        <v>5</v>
      </c>
      <c r="B60" s="347" t="s">
        <v>1690</v>
      </c>
      <c r="C60" s="348" t="s">
        <v>1725</v>
      </c>
      <c r="D60" s="346" t="s">
        <v>1726</v>
      </c>
      <c r="E60" s="349" t="s">
        <v>451</v>
      </c>
      <c r="F60" s="350" t="s">
        <v>22</v>
      </c>
      <c r="G60" s="350" t="s">
        <v>1162</v>
      </c>
      <c r="H60" s="351" t="s">
        <v>1967</v>
      </c>
      <c r="I60" s="352">
        <v>26125</v>
      </c>
      <c r="J60" s="352">
        <v>0</v>
      </c>
      <c r="K60" s="352">
        <v>0</v>
      </c>
      <c r="L60" s="352">
        <v>0</v>
      </c>
      <c r="M60" s="352">
        <v>0</v>
      </c>
      <c r="N60" s="355" t="s">
        <v>1855</v>
      </c>
      <c r="O60" s="352">
        <f t="shared" si="8"/>
        <v>26125</v>
      </c>
    </row>
    <row r="61" spans="1:15" s="353" customFormat="1" ht="168.75" x14ac:dyDescent="0.2">
      <c r="A61" s="346">
        <v>6</v>
      </c>
      <c r="B61" s="347" t="s">
        <v>1690</v>
      </c>
      <c r="C61" s="348" t="s">
        <v>1727</v>
      </c>
      <c r="D61" s="346" t="s">
        <v>1728</v>
      </c>
      <c r="E61" s="349" t="s">
        <v>1180</v>
      </c>
      <c r="F61" s="350" t="s">
        <v>22</v>
      </c>
      <c r="G61" s="350" t="s">
        <v>1729</v>
      </c>
      <c r="H61" s="351" t="s">
        <v>1968</v>
      </c>
      <c r="I61" s="352">
        <v>30000</v>
      </c>
      <c r="J61" s="352">
        <v>2400</v>
      </c>
      <c r="K61" s="352">
        <v>2400</v>
      </c>
      <c r="L61" s="352">
        <v>0</v>
      </c>
      <c r="M61" s="352">
        <v>0</v>
      </c>
      <c r="N61" s="352">
        <v>0</v>
      </c>
      <c r="O61" s="352">
        <f t="shared" si="8"/>
        <v>25200</v>
      </c>
    </row>
    <row r="62" spans="1:15" s="353" customFormat="1" ht="112.5" x14ac:dyDescent="0.2">
      <c r="A62" s="346">
        <v>7</v>
      </c>
      <c r="B62" s="347" t="s">
        <v>1735</v>
      </c>
      <c r="C62" s="348" t="s">
        <v>1736</v>
      </c>
      <c r="D62" s="346" t="s">
        <v>1737</v>
      </c>
      <c r="E62" s="349" t="s">
        <v>1126</v>
      </c>
      <c r="F62" s="350" t="s">
        <v>22</v>
      </c>
      <c r="G62" s="350" t="s">
        <v>1127</v>
      </c>
      <c r="H62" s="351" t="s">
        <v>1969</v>
      </c>
      <c r="I62" s="352">
        <v>32000</v>
      </c>
      <c r="J62" s="352">
        <v>0</v>
      </c>
      <c r="K62" s="352">
        <v>0</v>
      </c>
      <c r="L62" s="352">
        <v>0</v>
      </c>
      <c r="M62" s="352">
        <v>0</v>
      </c>
      <c r="N62" s="355" t="s">
        <v>1189</v>
      </c>
      <c r="O62" s="352">
        <f t="shared" si="8"/>
        <v>32000</v>
      </c>
    </row>
    <row r="63" spans="1:15" s="353" customFormat="1" ht="168.75" x14ac:dyDescent="0.2">
      <c r="A63" s="346">
        <v>8</v>
      </c>
      <c r="B63" s="347" t="s">
        <v>1743</v>
      </c>
      <c r="C63" s="348" t="s">
        <v>1744</v>
      </c>
      <c r="D63" s="346" t="s">
        <v>1745</v>
      </c>
      <c r="E63" s="349" t="s">
        <v>1234</v>
      </c>
      <c r="F63" s="350" t="s">
        <v>22</v>
      </c>
      <c r="G63" s="350" t="s">
        <v>1235</v>
      </c>
      <c r="H63" s="351" t="s">
        <v>1970</v>
      </c>
      <c r="I63" s="352">
        <v>448450</v>
      </c>
      <c r="J63" s="352">
        <v>0</v>
      </c>
      <c r="K63" s="352">
        <v>0</v>
      </c>
      <c r="L63" s="352">
        <v>36225</v>
      </c>
      <c r="M63" s="352">
        <v>36225</v>
      </c>
      <c r="N63" s="352">
        <v>0</v>
      </c>
      <c r="O63" s="352">
        <f t="shared" si="8"/>
        <v>376000</v>
      </c>
    </row>
    <row r="64" spans="1:15" s="353" customFormat="1" ht="131.25" x14ac:dyDescent="0.2">
      <c r="A64" s="346">
        <v>9</v>
      </c>
      <c r="B64" s="347" t="s">
        <v>1694</v>
      </c>
      <c r="C64" s="348" t="s">
        <v>1746</v>
      </c>
      <c r="D64" s="346" t="s">
        <v>1747</v>
      </c>
      <c r="E64" s="349" t="s">
        <v>1151</v>
      </c>
      <c r="F64" s="350" t="s">
        <v>22</v>
      </c>
      <c r="G64" s="350" t="s">
        <v>1152</v>
      </c>
      <c r="H64" s="351" t="s">
        <v>1971</v>
      </c>
      <c r="I64" s="352">
        <v>60000</v>
      </c>
      <c r="J64" s="352">
        <v>0</v>
      </c>
      <c r="K64" s="352">
        <v>0</v>
      </c>
      <c r="L64" s="352">
        <v>0</v>
      </c>
      <c r="M64" s="352">
        <v>0</v>
      </c>
      <c r="N64" s="355" t="s">
        <v>1189</v>
      </c>
      <c r="O64" s="352">
        <f t="shared" si="8"/>
        <v>60000</v>
      </c>
    </row>
    <row r="65" spans="1:15" s="353" customFormat="1" ht="75" x14ac:dyDescent="0.2">
      <c r="A65" s="346">
        <v>10</v>
      </c>
      <c r="B65" s="347" t="s">
        <v>1856</v>
      </c>
      <c r="C65" s="348" t="s">
        <v>1857</v>
      </c>
      <c r="D65" s="346" t="s">
        <v>1858</v>
      </c>
      <c r="E65" s="349" t="s">
        <v>451</v>
      </c>
      <c r="F65" s="350" t="s">
        <v>22</v>
      </c>
      <c r="G65" s="350" t="s">
        <v>1859</v>
      </c>
      <c r="H65" s="351" t="s">
        <v>1972</v>
      </c>
      <c r="I65" s="352">
        <v>120750</v>
      </c>
      <c r="J65" s="352">
        <v>9660</v>
      </c>
      <c r="K65" s="352">
        <v>9660</v>
      </c>
      <c r="L65" s="352">
        <v>0</v>
      </c>
      <c r="M65" s="352">
        <v>0</v>
      </c>
      <c r="N65" s="352">
        <v>0</v>
      </c>
      <c r="O65" s="352">
        <f t="shared" si="8"/>
        <v>101430</v>
      </c>
    </row>
    <row r="66" spans="1:15" s="353" customFormat="1" ht="150" x14ac:dyDescent="0.2">
      <c r="A66" s="346">
        <v>11</v>
      </c>
      <c r="B66" s="347" t="s">
        <v>1749</v>
      </c>
      <c r="C66" s="348" t="s">
        <v>1863</v>
      </c>
      <c r="D66" s="346" t="s">
        <v>1864</v>
      </c>
      <c r="E66" s="349" t="s">
        <v>451</v>
      </c>
      <c r="F66" s="350" t="s">
        <v>22</v>
      </c>
      <c r="G66" s="350" t="s">
        <v>1865</v>
      </c>
      <c r="H66" s="351" t="s">
        <v>1973</v>
      </c>
      <c r="I66" s="352">
        <v>500000</v>
      </c>
      <c r="J66" s="352">
        <v>40000</v>
      </c>
      <c r="K66" s="352">
        <v>40000</v>
      </c>
      <c r="L66" s="352">
        <v>0</v>
      </c>
      <c r="M66" s="352">
        <v>0</v>
      </c>
      <c r="N66" s="352">
        <v>0</v>
      </c>
      <c r="O66" s="352">
        <f t="shared" si="8"/>
        <v>420000</v>
      </c>
    </row>
    <row r="67" spans="1:15" s="353" customFormat="1" ht="131.25" x14ac:dyDescent="0.2">
      <c r="A67" s="346">
        <v>12</v>
      </c>
      <c r="B67" s="347" t="s">
        <v>1866</v>
      </c>
      <c r="C67" s="348" t="s">
        <v>1867</v>
      </c>
      <c r="D67" s="346" t="s">
        <v>1868</v>
      </c>
      <c r="E67" s="349" t="s">
        <v>451</v>
      </c>
      <c r="F67" s="350" t="s">
        <v>22</v>
      </c>
      <c r="G67" s="350" t="s">
        <v>1162</v>
      </c>
      <c r="H67" s="351" t="s">
        <v>1974</v>
      </c>
      <c r="I67" s="352">
        <v>27500</v>
      </c>
      <c r="J67" s="352">
        <v>0</v>
      </c>
      <c r="K67" s="352">
        <v>0</v>
      </c>
      <c r="L67" s="352">
        <v>0</v>
      </c>
      <c r="M67" s="352">
        <v>0</v>
      </c>
      <c r="N67" s="355" t="s">
        <v>1855</v>
      </c>
      <c r="O67" s="352">
        <f t="shared" si="8"/>
        <v>27500</v>
      </c>
    </row>
    <row r="68" spans="1:15" s="353" customFormat="1" ht="131.25" x14ac:dyDescent="0.2">
      <c r="A68" s="346">
        <v>13</v>
      </c>
      <c r="B68" s="347" t="s">
        <v>1759</v>
      </c>
      <c r="C68" s="348" t="s">
        <v>1869</v>
      </c>
      <c r="D68" s="346" t="s">
        <v>1870</v>
      </c>
      <c r="E68" s="349" t="s">
        <v>451</v>
      </c>
      <c r="F68" s="350" t="s">
        <v>22</v>
      </c>
      <c r="G68" s="350" t="s">
        <v>1162</v>
      </c>
      <c r="H68" s="351" t="s">
        <v>1975</v>
      </c>
      <c r="I68" s="352">
        <v>179550</v>
      </c>
      <c r="J68" s="352">
        <v>0</v>
      </c>
      <c r="K68" s="352">
        <v>0</v>
      </c>
      <c r="L68" s="352">
        <v>15000</v>
      </c>
      <c r="M68" s="352">
        <v>15000</v>
      </c>
      <c r="N68" s="352">
        <v>0</v>
      </c>
      <c r="O68" s="352">
        <f t="shared" si="8"/>
        <v>149550</v>
      </c>
    </row>
    <row r="69" spans="1:15" s="353" customFormat="1" ht="131.25" x14ac:dyDescent="0.2">
      <c r="A69" s="346">
        <v>14</v>
      </c>
      <c r="B69" s="347" t="s">
        <v>1769</v>
      </c>
      <c r="C69" s="348" t="s">
        <v>1878</v>
      </c>
      <c r="D69" s="346" t="s">
        <v>1879</v>
      </c>
      <c r="E69" s="349" t="s">
        <v>1880</v>
      </c>
      <c r="F69" s="350" t="s">
        <v>22</v>
      </c>
      <c r="G69" s="350" t="s">
        <v>1198</v>
      </c>
      <c r="H69" s="351" t="s">
        <v>1976</v>
      </c>
      <c r="I69" s="352">
        <v>133000</v>
      </c>
      <c r="J69" s="352">
        <v>6650</v>
      </c>
      <c r="K69" s="352">
        <v>6650</v>
      </c>
      <c r="L69" s="352">
        <v>0</v>
      </c>
      <c r="M69" s="352">
        <v>0</v>
      </c>
      <c r="N69" s="355">
        <v>0</v>
      </c>
      <c r="O69" s="352">
        <f t="shared" si="8"/>
        <v>119700</v>
      </c>
    </row>
    <row r="70" spans="1:15" s="353" customFormat="1" ht="225" x14ac:dyDescent="0.2">
      <c r="A70" s="346">
        <v>15</v>
      </c>
      <c r="B70" s="347" t="s">
        <v>1782</v>
      </c>
      <c r="C70" s="348" t="s">
        <v>1783</v>
      </c>
      <c r="D70" s="346" t="s">
        <v>1784</v>
      </c>
      <c r="E70" s="349" t="s">
        <v>1884</v>
      </c>
      <c r="F70" s="350" t="s">
        <v>22</v>
      </c>
      <c r="G70" s="350" t="s">
        <v>930</v>
      </c>
      <c r="H70" s="351" t="s">
        <v>1977</v>
      </c>
      <c r="I70" s="352">
        <v>407140</v>
      </c>
      <c r="J70" s="352">
        <v>0</v>
      </c>
      <c r="K70" s="352">
        <v>0</v>
      </c>
      <c r="L70" s="352">
        <v>0</v>
      </c>
      <c r="M70" s="352">
        <v>0</v>
      </c>
      <c r="N70" s="355" t="s">
        <v>1786</v>
      </c>
      <c r="O70" s="352">
        <f t="shared" si="8"/>
        <v>407140</v>
      </c>
    </row>
    <row r="71" spans="1:15" s="353" customFormat="1" ht="187.5" x14ac:dyDescent="0.2">
      <c r="A71" s="346">
        <v>16</v>
      </c>
      <c r="B71" s="347" t="s">
        <v>1782</v>
      </c>
      <c r="C71" s="348" t="s">
        <v>1783</v>
      </c>
      <c r="D71" s="346" t="s">
        <v>1784</v>
      </c>
      <c r="E71" s="349" t="s">
        <v>1884</v>
      </c>
      <c r="F71" s="350" t="s">
        <v>22</v>
      </c>
      <c r="G71" s="350" t="s">
        <v>930</v>
      </c>
      <c r="H71" s="351" t="s">
        <v>1978</v>
      </c>
      <c r="I71" s="352">
        <v>916065</v>
      </c>
      <c r="J71" s="352">
        <v>0</v>
      </c>
      <c r="K71" s="352">
        <v>0</v>
      </c>
      <c r="L71" s="352">
        <v>0</v>
      </c>
      <c r="M71" s="352">
        <v>0</v>
      </c>
      <c r="N71" s="355" t="s">
        <v>1786</v>
      </c>
      <c r="O71" s="352">
        <f t="shared" si="8"/>
        <v>916065</v>
      </c>
    </row>
    <row r="72" spans="1:15" s="353" customFormat="1" ht="112.5" x14ac:dyDescent="0.2">
      <c r="A72" s="346">
        <v>17</v>
      </c>
      <c r="B72" s="347" t="s">
        <v>1807</v>
      </c>
      <c r="C72" s="348" t="s">
        <v>1808</v>
      </c>
      <c r="D72" s="346" t="s">
        <v>1809</v>
      </c>
      <c r="E72" s="349" t="s">
        <v>1894</v>
      </c>
      <c r="F72" s="350" t="s">
        <v>22</v>
      </c>
      <c r="G72" s="350" t="s">
        <v>1763</v>
      </c>
      <c r="H72" s="351" t="s">
        <v>1979</v>
      </c>
      <c r="I72" s="352">
        <v>1445479</v>
      </c>
      <c r="J72" s="352">
        <v>0</v>
      </c>
      <c r="K72" s="352">
        <v>0</v>
      </c>
      <c r="L72" s="352">
        <v>0</v>
      </c>
      <c r="M72" s="352">
        <v>0</v>
      </c>
      <c r="N72" s="355" t="s">
        <v>1786</v>
      </c>
      <c r="O72" s="352">
        <f t="shared" si="8"/>
        <v>1445479</v>
      </c>
    </row>
    <row r="73" spans="1:15" s="353" customFormat="1" ht="168.75" x14ac:dyDescent="0.2">
      <c r="A73" s="346">
        <v>18</v>
      </c>
      <c r="B73" s="347" t="s">
        <v>1826</v>
      </c>
      <c r="C73" s="348" t="s">
        <v>1905</v>
      </c>
      <c r="D73" s="346" t="s">
        <v>1906</v>
      </c>
      <c r="E73" s="349" t="s">
        <v>1907</v>
      </c>
      <c r="F73" s="350" t="s">
        <v>22</v>
      </c>
      <c r="G73" s="350" t="s">
        <v>1908</v>
      </c>
      <c r="H73" s="351" t="s">
        <v>1980</v>
      </c>
      <c r="I73" s="352">
        <v>10000</v>
      </c>
      <c r="J73" s="352">
        <v>0</v>
      </c>
      <c r="K73" s="352">
        <v>0</v>
      </c>
      <c r="L73" s="352">
        <v>0</v>
      </c>
      <c r="M73" s="352">
        <v>0</v>
      </c>
      <c r="N73" s="355" t="s">
        <v>1837</v>
      </c>
      <c r="O73" s="352">
        <f t="shared" si="8"/>
        <v>10000</v>
      </c>
    </row>
    <row r="74" spans="1:15" s="353" customFormat="1" ht="131.25" x14ac:dyDescent="0.2">
      <c r="A74" s="346">
        <v>19</v>
      </c>
      <c r="B74" s="347">
        <v>243161</v>
      </c>
      <c r="C74" s="348" t="s">
        <v>1109</v>
      </c>
      <c r="D74" s="346" t="s">
        <v>1909</v>
      </c>
      <c r="E74" s="349" t="s">
        <v>1880</v>
      </c>
      <c r="F74" s="350" t="s">
        <v>22</v>
      </c>
      <c r="G74" s="350" t="s">
        <v>1198</v>
      </c>
      <c r="H74" s="351" t="s">
        <v>1981</v>
      </c>
      <c r="I74" s="352">
        <v>266000</v>
      </c>
      <c r="J74" s="352">
        <v>13300</v>
      </c>
      <c r="K74" s="352">
        <v>13300</v>
      </c>
      <c r="L74" s="352">
        <v>0</v>
      </c>
      <c r="M74" s="352">
        <v>0</v>
      </c>
      <c r="N74" s="363">
        <v>0</v>
      </c>
      <c r="O74" s="352">
        <f t="shared" si="8"/>
        <v>239400</v>
      </c>
    </row>
    <row r="75" spans="1:15" s="353" customFormat="1" ht="131.25" x14ac:dyDescent="0.2">
      <c r="A75" s="346">
        <v>20</v>
      </c>
      <c r="B75" s="347">
        <v>243161</v>
      </c>
      <c r="C75" s="348" t="s">
        <v>1109</v>
      </c>
      <c r="D75" s="346" t="s">
        <v>1910</v>
      </c>
      <c r="E75" s="349" t="s">
        <v>451</v>
      </c>
      <c r="F75" s="350" t="s">
        <v>22</v>
      </c>
      <c r="G75" s="350" t="s">
        <v>1162</v>
      </c>
      <c r="H75" s="351" t="s">
        <v>1982</v>
      </c>
      <c r="I75" s="352">
        <v>199500</v>
      </c>
      <c r="J75" s="352">
        <v>0</v>
      </c>
      <c r="K75" s="352">
        <v>0</v>
      </c>
      <c r="L75" s="352"/>
      <c r="M75" s="352"/>
      <c r="N75" s="355" t="s">
        <v>1911</v>
      </c>
      <c r="O75" s="352">
        <f t="shared" si="8"/>
        <v>199500</v>
      </c>
    </row>
    <row r="76" spans="1:15" s="353" customFormat="1" x14ac:dyDescent="0.2">
      <c r="A76" s="356" t="s">
        <v>1229</v>
      </c>
      <c r="B76" s="357"/>
      <c r="C76" s="358"/>
      <c r="D76" s="359"/>
      <c r="E76" s="356"/>
      <c r="F76" s="360"/>
      <c r="G76" s="360"/>
      <c r="H76" s="361"/>
      <c r="I76" s="362">
        <f>SUM(I77:I79)</f>
        <v>321658</v>
      </c>
      <c r="J76" s="362">
        <f t="shared" ref="J76:O76" si="9">SUM(J77:J79)</f>
        <v>0</v>
      </c>
      <c r="K76" s="362">
        <f t="shared" si="9"/>
        <v>0</v>
      </c>
      <c r="L76" s="362">
        <f t="shared" si="9"/>
        <v>0</v>
      </c>
      <c r="M76" s="362">
        <f t="shared" si="9"/>
        <v>0</v>
      </c>
      <c r="N76" s="362">
        <f t="shared" si="9"/>
        <v>0</v>
      </c>
      <c r="O76" s="362">
        <f t="shared" si="9"/>
        <v>321658</v>
      </c>
    </row>
    <row r="77" spans="1:15" s="353" customFormat="1" ht="150" x14ac:dyDescent="0.2">
      <c r="A77" s="346">
        <v>1</v>
      </c>
      <c r="B77" s="347" t="s">
        <v>1782</v>
      </c>
      <c r="C77" s="348" t="s">
        <v>1787</v>
      </c>
      <c r="D77" s="346" t="s">
        <v>1788</v>
      </c>
      <c r="E77" s="349" t="s">
        <v>1885</v>
      </c>
      <c r="F77" s="350" t="s">
        <v>1229</v>
      </c>
      <c r="G77" s="350" t="s">
        <v>930</v>
      </c>
      <c r="H77" s="351" t="s">
        <v>1983</v>
      </c>
      <c r="I77" s="352">
        <v>142948</v>
      </c>
      <c r="J77" s="352">
        <v>0</v>
      </c>
      <c r="K77" s="352">
        <v>0</v>
      </c>
      <c r="L77" s="352">
        <v>0</v>
      </c>
      <c r="M77" s="352">
        <v>0</v>
      </c>
      <c r="N77" s="355" t="s">
        <v>1786</v>
      </c>
      <c r="O77" s="352">
        <f>+I77-(SUM(J77:N77))</f>
        <v>142948</v>
      </c>
    </row>
    <row r="78" spans="1:15" s="353" customFormat="1" ht="168.75" x14ac:dyDescent="0.2">
      <c r="A78" s="346">
        <v>2</v>
      </c>
      <c r="B78" s="347" t="s">
        <v>1782</v>
      </c>
      <c r="C78" s="348" t="s">
        <v>1787</v>
      </c>
      <c r="D78" s="346" t="s">
        <v>1788</v>
      </c>
      <c r="E78" s="349" t="s">
        <v>1886</v>
      </c>
      <c r="F78" s="350" t="s">
        <v>1229</v>
      </c>
      <c r="G78" s="350" t="s">
        <v>930</v>
      </c>
      <c r="H78" s="351" t="s">
        <v>1984</v>
      </c>
      <c r="I78" s="352">
        <v>168710</v>
      </c>
      <c r="J78" s="352">
        <v>0</v>
      </c>
      <c r="K78" s="352">
        <v>0</v>
      </c>
      <c r="L78" s="352">
        <v>0</v>
      </c>
      <c r="M78" s="352">
        <v>0</v>
      </c>
      <c r="N78" s="355" t="s">
        <v>1786</v>
      </c>
      <c r="O78" s="352">
        <f>+I78-(SUM(J78:N78))</f>
        <v>168710</v>
      </c>
    </row>
    <row r="79" spans="1:15" s="353" customFormat="1" ht="192" customHeight="1" x14ac:dyDescent="0.2">
      <c r="A79" s="346">
        <v>3</v>
      </c>
      <c r="B79" s="347" t="s">
        <v>1796</v>
      </c>
      <c r="C79" s="348" t="s">
        <v>1889</v>
      </c>
      <c r="D79" s="346" t="s">
        <v>1890</v>
      </c>
      <c r="E79" s="349" t="s">
        <v>1891</v>
      </c>
      <c r="F79" s="350" t="s">
        <v>1229</v>
      </c>
      <c r="G79" s="350" t="s">
        <v>1892</v>
      </c>
      <c r="H79" s="351" t="s">
        <v>1985</v>
      </c>
      <c r="I79" s="352">
        <v>10000</v>
      </c>
      <c r="J79" s="352">
        <v>0</v>
      </c>
      <c r="K79" s="352">
        <v>0</v>
      </c>
      <c r="L79" s="352">
        <v>0</v>
      </c>
      <c r="M79" s="352">
        <v>0</v>
      </c>
      <c r="N79" s="355" t="s">
        <v>1893</v>
      </c>
      <c r="O79" s="352">
        <f>+I79-(SUM(J79:N79))</f>
        <v>10000</v>
      </c>
    </row>
    <row r="80" spans="1:15" s="353" customFormat="1" x14ac:dyDescent="0.2">
      <c r="A80" s="356" t="s">
        <v>308</v>
      </c>
      <c r="B80" s="357"/>
      <c r="C80" s="358"/>
      <c r="D80" s="359"/>
      <c r="E80" s="356"/>
      <c r="F80" s="360"/>
      <c r="G80" s="360"/>
      <c r="H80" s="361"/>
      <c r="I80" s="362">
        <f>SUM(I81:I83)</f>
        <v>1217800</v>
      </c>
      <c r="J80" s="362">
        <f t="shared" ref="J80:O80" si="10">SUM(J81:J83)</f>
        <v>15105</v>
      </c>
      <c r="K80" s="362">
        <f t="shared" si="10"/>
        <v>15105</v>
      </c>
      <c r="L80" s="362">
        <f t="shared" si="10"/>
        <v>0</v>
      </c>
      <c r="M80" s="362">
        <f t="shared" si="10"/>
        <v>0</v>
      </c>
      <c r="N80" s="362">
        <f t="shared" si="10"/>
        <v>0</v>
      </c>
      <c r="O80" s="362">
        <f t="shared" si="10"/>
        <v>1187590</v>
      </c>
    </row>
    <row r="81" spans="1:16" s="353" customFormat="1" ht="208.5" customHeight="1" x14ac:dyDescent="0.2">
      <c r="A81" s="346">
        <v>1</v>
      </c>
      <c r="B81" s="347" t="s">
        <v>1759</v>
      </c>
      <c r="C81" s="348" t="s">
        <v>1760</v>
      </c>
      <c r="D81" s="346" t="s">
        <v>1761</v>
      </c>
      <c r="E81" s="349" t="s">
        <v>1762</v>
      </c>
      <c r="F81" s="350" t="s">
        <v>308</v>
      </c>
      <c r="G81" s="350" t="s">
        <v>1763</v>
      </c>
      <c r="H81" s="351" t="s">
        <v>1986</v>
      </c>
      <c r="I81" s="352">
        <v>915700</v>
      </c>
      <c r="J81" s="352">
        <v>0</v>
      </c>
      <c r="K81" s="352">
        <v>0</v>
      </c>
      <c r="L81" s="352">
        <v>0</v>
      </c>
      <c r="M81" s="352">
        <v>0</v>
      </c>
      <c r="N81" s="355" t="s">
        <v>1742</v>
      </c>
      <c r="O81" s="352">
        <f>+I81-(SUM(J81:N81))</f>
        <v>915700</v>
      </c>
    </row>
    <row r="82" spans="1:16" s="353" customFormat="1" ht="93.75" x14ac:dyDescent="0.2">
      <c r="A82" s="346">
        <v>2</v>
      </c>
      <c r="B82" s="347" t="s">
        <v>1769</v>
      </c>
      <c r="C82" s="348" t="s">
        <v>1772</v>
      </c>
      <c r="D82" s="346" t="s">
        <v>1773</v>
      </c>
      <c r="E82" s="349" t="s">
        <v>1774</v>
      </c>
      <c r="F82" s="350" t="s">
        <v>308</v>
      </c>
      <c r="G82" s="350" t="s">
        <v>1198</v>
      </c>
      <c r="H82" s="351" t="s">
        <v>1987</v>
      </c>
      <c r="I82" s="352">
        <v>100700</v>
      </c>
      <c r="J82" s="352">
        <v>5035</v>
      </c>
      <c r="K82" s="352">
        <v>5035</v>
      </c>
      <c r="L82" s="352">
        <v>0</v>
      </c>
      <c r="M82" s="352">
        <v>0</v>
      </c>
      <c r="N82" s="352">
        <v>0</v>
      </c>
      <c r="O82" s="352">
        <f>+I82-(SUM(J82:N82))</f>
        <v>90630</v>
      </c>
    </row>
    <row r="83" spans="1:16" s="353" customFormat="1" ht="93.75" x14ac:dyDescent="0.2">
      <c r="A83" s="346">
        <v>3</v>
      </c>
      <c r="B83" s="347">
        <v>243161</v>
      </c>
      <c r="C83" s="348" t="s">
        <v>1109</v>
      </c>
      <c r="D83" s="346" t="s">
        <v>1843</v>
      </c>
      <c r="E83" s="349" t="s">
        <v>1774</v>
      </c>
      <c r="F83" s="350" t="s">
        <v>308</v>
      </c>
      <c r="G83" s="350" t="s">
        <v>1198</v>
      </c>
      <c r="H83" s="351" t="s">
        <v>1988</v>
      </c>
      <c r="I83" s="352">
        <v>201400</v>
      </c>
      <c r="J83" s="352">
        <v>10070</v>
      </c>
      <c r="K83" s="352">
        <v>10070</v>
      </c>
      <c r="L83" s="352">
        <v>0</v>
      </c>
      <c r="M83" s="352">
        <v>0</v>
      </c>
      <c r="N83" s="363">
        <v>0</v>
      </c>
      <c r="O83" s="352">
        <f>+I83-(SUM(J83:N83))</f>
        <v>181260</v>
      </c>
    </row>
    <row r="84" spans="1:16" s="353" customFormat="1" x14ac:dyDescent="0.2">
      <c r="A84" s="356" t="s">
        <v>19</v>
      </c>
      <c r="B84" s="357"/>
      <c r="C84" s="358"/>
      <c r="D84" s="359"/>
      <c r="E84" s="356"/>
      <c r="F84" s="360"/>
      <c r="G84" s="360"/>
      <c r="H84" s="361"/>
      <c r="I84" s="362">
        <f>SUM(I85:I102)</f>
        <v>5890279.04</v>
      </c>
      <c r="J84" s="362">
        <f t="shared" ref="J84:O84" si="11">SUM(J85:J102)</f>
        <v>360146.95</v>
      </c>
      <c r="K84" s="362">
        <f t="shared" si="11"/>
        <v>360146.95</v>
      </c>
      <c r="L84" s="362">
        <f t="shared" si="11"/>
        <v>0</v>
      </c>
      <c r="M84" s="362">
        <f t="shared" si="11"/>
        <v>0</v>
      </c>
      <c r="N84" s="362">
        <f t="shared" si="11"/>
        <v>0</v>
      </c>
      <c r="O84" s="362">
        <f t="shared" si="11"/>
        <v>5169985.1400000006</v>
      </c>
    </row>
    <row r="85" spans="1:16" s="353" customFormat="1" ht="187.5" x14ac:dyDescent="0.2">
      <c r="A85" s="346">
        <v>1</v>
      </c>
      <c r="B85" s="347" t="s">
        <v>1623</v>
      </c>
      <c r="C85" s="348" t="s">
        <v>1627</v>
      </c>
      <c r="D85" s="346" t="s">
        <v>1628</v>
      </c>
      <c r="E85" s="349" t="s">
        <v>199</v>
      </c>
      <c r="F85" s="350" t="s">
        <v>19</v>
      </c>
      <c r="G85" s="350" t="s">
        <v>1063</v>
      </c>
      <c r="H85" s="351" t="s">
        <v>1989</v>
      </c>
      <c r="I85" s="352">
        <v>275000</v>
      </c>
      <c r="J85" s="352">
        <v>13750</v>
      </c>
      <c r="K85" s="352">
        <v>13750</v>
      </c>
      <c r="L85" s="352">
        <v>0</v>
      </c>
      <c r="M85" s="352">
        <v>0</v>
      </c>
      <c r="N85" s="352">
        <v>0</v>
      </c>
      <c r="O85" s="352">
        <f t="shared" ref="O85:O102" si="12">+I85-(SUM(J85:N85))</f>
        <v>247500</v>
      </c>
    </row>
    <row r="86" spans="1:16" s="353" customFormat="1" ht="112.5" x14ac:dyDescent="0.2">
      <c r="A86" s="346">
        <v>2</v>
      </c>
      <c r="B86" s="347" t="s">
        <v>1634</v>
      </c>
      <c r="C86" s="348" t="s">
        <v>1635</v>
      </c>
      <c r="D86" s="346" t="s">
        <v>1636</v>
      </c>
      <c r="E86" s="349" t="s">
        <v>963</v>
      </c>
      <c r="F86" s="350" t="s">
        <v>19</v>
      </c>
      <c r="G86" s="350" t="s">
        <v>964</v>
      </c>
      <c r="H86" s="351" t="s">
        <v>1990</v>
      </c>
      <c r="I86" s="352">
        <v>285000</v>
      </c>
      <c r="J86" s="352">
        <v>14250</v>
      </c>
      <c r="K86" s="352">
        <v>14250</v>
      </c>
      <c r="L86" s="352">
        <v>0</v>
      </c>
      <c r="M86" s="352">
        <v>0</v>
      </c>
      <c r="N86" s="352">
        <v>0</v>
      </c>
      <c r="O86" s="352">
        <f t="shared" si="12"/>
        <v>256500</v>
      </c>
    </row>
    <row r="87" spans="1:16" s="353" customFormat="1" ht="117" customHeight="1" x14ac:dyDescent="0.2">
      <c r="A87" s="346">
        <v>3</v>
      </c>
      <c r="B87" s="347" t="s">
        <v>1634</v>
      </c>
      <c r="C87" s="348" t="s">
        <v>1637</v>
      </c>
      <c r="D87" s="346" t="s">
        <v>1636</v>
      </c>
      <c r="E87" s="349" t="s">
        <v>963</v>
      </c>
      <c r="F87" s="350" t="s">
        <v>19</v>
      </c>
      <c r="G87" s="350" t="s">
        <v>964</v>
      </c>
      <c r="H87" s="351" t="s">
        <v>1991</v>
      </c>
      <c r="I87" s="352">
        <v>15000</v>
      </c>
      <c r="J87" s="352">
        <v>750</v>
      </c>
      <c r="K87" s="352">
        <v>750</v>
      </c>
      <c r="L87" s="352">
        <v>0</v>
      </c>
      <c r="M87" s="352">
        <v>0</v>
      </c>
      <c r="N87" s="352">
        <v>0</v>
      </c>
      <c r="O87" s="352">
        <f t="shared" si="12"/>
        <v>13500</v>
      </c>
    </row>
    <row r="88" spans="1:16" s="353" customFormat="1" ht="112.5" x14ac:dyDescent="0.2">
      <c r="A88" s="346">
        <v>4</v>
      </c>
      <c r="B88" s="347" t="s">
        <v>1652</v>
      </c>
      <c r="C88" s="348" t="s">
        <v>1653</v>
      </c>
      <c r="D88" s="346" t="s">
        <v>1654</v>
      </c>
      <c r="E88" s="349" t="s">
        <v>1655</v>
      </c>
      <c r="F88" s="350" t="s">
        <v>19</v>
      </c>
      <c r="G88" s="350" t="s">
        <v>1656</v>
      </c>
      <c r="H88" s="351" t="s">
        <v>1992</v>
      </c>
      <c r="I88" s="352">
        <v>60000</v>
      </c>
      <c r="J88" s="352">
        <v>4800</v>
      </c>
      <c r="K88" s="352">
        <v>4800</v>
      </c>
      <c r="L88" s="352">
        <v>0</v>
      </c>
      <c r="M88" s="352">
        <v>0</v>
      </c>
      <c r="N88" s="352">
        <v>0</v>
      </c>
      <c r="O88" s="352">
        <f t="shared" si="12"/>
        <v>50400</v>
      </c>
    </row>
    <row r="89" spans="1:16" s="353" customFormat="1" ht="93.75" x14ac:dyDescent="0.2">
      <c r="A89" s="346">
        <v>5</v>
      </c>
      <c r="B89" s="347" t="s">
        <v>1674</v>
      </c>
      <c r="C89" s="348" t="s">
        <v>1675</v>
      </c>
      <c r="D89" s="346" t="s">
        <v>1676</v>
      </c>
      <c r="E89" s="349" t="s">
        <v>963</v>
      </c>
      <c r="F89" s="350" t="s">
        <v>19</v>
      </c>
      <c r="G89" s="350" t="s">
        <v>1677</v>
      </c>
      <c r="H89" s="351" t="s">
        <v>1993</v>
      </c>
      <c r="I89" s="352">
        <v>500000</v>
      </c>
      <c r="J89" s="352">
        <v>40000</v>
      </c>
      <c r="K89" s="352">
        <v>40000</v>
      </c>
      <c r="L89" s="352">
        <v>0</v>
      </c>
      <c r="M89" s="352">
        <v>0</v>
      </c>
      <c r="N89" s="352">
        <v>0</v>
      </c>
      <c r="O89" s="352">
        <f t="shared" si="12"/>
        <v>420000</v>
      </c>
    </row>
    <row r="90" spans="1:16" s="353" customFormat="1" ht="112.5" x14ac:dyDescent="0.2">
      <c r="A90" s="346">
        <v>6</v>
      </c>
      <c r="B90" s="347" t="s">
        <v>1694</v>
      </c>
      <c r="C90" s="348" t="s">
        <v>1695</v>
      </c>
      <c r="D90" s="346" t="s">
        <v>1696</v>
      </c>
      <c r="E90" s="349" t="s">
        <v>963</v>
      </c>
      <c r="F90" s="350" t="s">
        <v>19</v>
      </c>
      <c r="G90" s="350" t="s">
        <v>964</v>
      </c>
      <c r="H90" s="351" t="s">
        <v>1994</v>
      </c>
      <c r="I90" s="352">
        <v>15000</v>
      </c>
      <c r="J90" s="352">
        <v>750</v>
      </c>
      <c r="K90" s="352">
        <v>750</v>
      </c>
      <c r="L90" s="352">
        <v>0</v>
      </c>
      <c r="M90" s="352">
        <v>0</v>
      </c>
      <c r="N90" s="352">
        <v>0</v>
      </c>
      <c r="O90" s="352">
        <f t="shared" si="12"/>
        <v>13500</v>
      </c>
    </row>
    <row r="91" spans="1:16" s="353" customFormat="1" ht="112.5" x14ac:dyDescent="0.2">
      <c r="A91" s="346">
        <v>7</v>
      </c>
      <c r="B91" s="347" t="s">
        <v>1694</v>
      </c>
      <c r="C91" s="348" t="s">
        <v>1697</v>
      </c>
      <c r="D91" s="346" t="s">
        <v>1696</v>
      </c>
      <c r="E91" s="349" t="s">
        <v>963</v>
      </c>
      <c r="F91" s="350" t="s">
        <v>19</v>
      </c>
      <c r="G91" s="350" t="s">
        <v>964</v>
      </c>
      <c r="H91" s="351" t="s">
        <v>1995</v>
      </c>
      <c r="I91" s="352">
        <v>22500</v>
      </c>
      <c r="J91" s="352">
        <v>1125</v>
      </c>
      <c r="K91" s="352">
        <v>1125</v>
      </c>
      <c r="L91" s="352">
        <v>0</v>
      </c>
      <c r="M91" s="352">
        <v>0</v>
      </c>
      <c r="N91" s="352">
        <v>0</v>
      </c>
      <c r="O91" s="352">
        <f t="shared" si="12"/>
        <v>20250</v>
      </c>
    </row>
    <row r="92" spans="1:16" s="354" customFormat="1" ht="20.100000000000001" customHeight="1" x14ac:dyDescent="0.4">
      <c r="A92" s="346">
        <v>8</v>
      </c>
      <c r="B92" s="347" t="s">
        <v>1694</v>
      </c>
      <c r="C92" s="348" t="s">
        <v>1698</v>
      </c>
      <c r="D92" s="346" t="s">
        <v>1696</v>
      </c>
      <c r="E92" s="349" t="s">
        <v>963</v>
      </c>
      <c r="F92" s="350" t="s">
        <v>19</v>
      </c>
      <c r="G92" s="350" t="s">
        <v>964</v>
      </c>
      <c r="H92" s="351" t="s">
        <v>1996</v>
      </c>
      <c r="I92" s="352">
        <v>22500</v>
      </c>
      <c r="J92" s="352">
        <v>1125</v>
      </c>
      <c r="K92" s="352">
        <v>1125</v>
      </c>
      <c r="L92" s="352">
        <v>0</v>
      </c>
      <c r="M92" s="352">
        <v>0</v>
      </c>
      <c r="N92" s="352">
        <v>0</v>
      </c>
      <c r="O92" s="352">
        <f t="shared" si="12"/>
        <v>20250</v>
      </c>
      <c r="P92" s="353"/>
    </row>
    <row r="93" spans="1:16" s="353" customFormat="1" ht="115.5" customHeight="1" x14ac:dyDescent="0.2">
      <c r="A93" s="346">
        <v>9</v>
      </c>
      <c r="B93" s="347" t="s">
        <v>1749</v>
      </c>
      <c r="C93" s="348" t="s">
        <v>1750</v>
      </c>
      <c r="D93" s="346" t="s">
        <v>1751</v>
      </c>
      <c r="E93" s="349" t="s">
        <v>199</v>
      </c>
      <c r="F93" s="350" t="s">
        <v>19</v>
      </c>
      <c r="G93" s="350" t="s">
        <v>1752</v>
      </c>
      <c r="H93" s="351" t="s">
        <v>1997</v>
      </c>
      <c r="I93" s="352">
        <v>855000</v>
      </c>
      <c r="J93" s="352">
        <v>68400</v>
      </c>
      <c r="K93" s="352">
        <v>68400</v>
      </c>
      <c r="L93" s="352">
        <v>0</v>
      </c>
      <c r="M93" s="352">
        <v>0</v>
      </c>
      <c r="N93" s="352">
        <v>0</v>
      </c>
      <c r="O93" s="352">
        <f t="shared" si="12"/>
        <v>718200</v>
      </c>
    </row>
    <row r="94" spans="1:16" s="353" customFormat="1" ht="117" customHeight="1" x14ac:dyDescent="0.2">
      <c r="A94" s="346">
        <v>10</v>
      </c>
      <c r="B94" s="347" t="s">
        <v>1764</v>
      </c>
      <c r="C94" s="348" t="s">
        <v>1767</v>
      </c>
      <c r="D94" s="346" t="s">
        <v>1768</v>
      </c>
      <c r="E94" s="349" t="s">
        <v>199</v>
      </c>
      <c r="F94" s="350" t="s">
        <v>19</v>
      </c>
      <c r="G94" s="350" t="s">
        <v>1752</v>
      </c>
      <c r="H94" s="351" t="s">
        <v>1998</v>
      </c>
      <c r="I94" s="352">
        <v>855000</v>
      </c>
      <c r="J94" s="352">
        <v>68400</v>
      </c>
      <c r="K94" s="352">
        <v>68400</v>
      </c>
      <c r="L94" s="352">
        <v>0</v>
      </c>
      <c r="M94" s="352">
        <v>0</v>
      </c>
      <c r="N94" s="352">
        <v>0</v>
      </c>
      <c r="O94" s="352">
        <f t="shared" si="12"/>
        <v>718200</v>
      </c>
    </row>
    <row r="95" spans="1:16" s="353" customFormat="1" ht="112.5" x14ac:dyDescent="0.2">
      <c r="A95" s="346">
        <v>11</v>
      </c>
      <c r="B95" s="347" t="s">
        <v>1775</v>
      </c>
      <c r="C95" s="348" t="s">
        <v>1776</v>
      </c>
      <c r="D95" s="346" t="s">
        <v>1777</v>
      </c>
      <c r="E95" s="349" t="s">
        <v>199</v>
      </c>
      <c r="F95" s="350" t="s">
        <v>19</v>
      </c>
      <c r="G95" s="350" t="s">
        <v>309</v>
      </c>
      <c r="H95" s="351" t="s">
        <v>1999</v>
      </c>
      <c r="I95" s="352">
        <v>285600</v>
      </c>
      <c r="J95" s="352">
        <v>22848</v>
      </c>
      <c r="K95" s="352">
        <v>22848</v>
      </c>
      <c r="L95" s="352">
        <v>0</v>
      </c>
      <c r="M95" s="352">
        <v>0</v>
      </c>
      <c r="N95" s="352">
        <v>0</v>
      </c>
      <c r="O95" s="352">
        <f t="shared" si="12"/>
        <v>239904</v>
      </c>
    </row>
    <row r="96" spans="1:16" s="353" customFormat="1" ht="187.5" x14ac:dyDescent="0.2">
      <c r="A96" s="346">
        <v>12</v>
      </c>
      <c r="B96" s="347" t="s">
        <v>1796</v>
      </c>
      <c r="C96" s="348" t="s">
        <v>1797</v>
      </c>
      <c r="D96" s="346" t="s">
        <v>1798</v>
      </c>
      <c r="E96" s="349" t="s">
        <v>1202</v>
      </c>
      <c r="F96" s="350" t="s">
        <v>19</v>
      </c>
      <c r="G96" s="350" t="s">
        <v>1799</v>
      </c>
      <c r="H96" s="351" t="s">
        <v>2000</v>
      </c>
      <c r="I96" s="352">
        <v>120300</v>
      </c>
      <c r="J96" s="352">
        <v>0</v>
      </c>
      <c r="K96" s="352">
        <v>0</v>
      </c>
      <c r="L96" s="352">
        <v>0</v>
      </c>
      <c r="M96" s="352">
        <v>0</v>
      </c>
      <c r="N96" s="355" t="s">
        <v>1786</v>
      </c>
      <c r="O96" s="352">
        <f t="shared" si="12"/>
        <v>120300</v>
      </c>
    </row>
    <row r="97" spans="1:15" s="353" customFormat="1" ht="187.5" x14ac:dyDescent="0.2">
      <c r="A97" s="346">
        <v>13</v>
      </c>
      <c r="B97" s="347" t="s">
        <v>1817</v>
      </c>
      <c r="C97" s="348" t="s">
        <v>1818</v>
      </c>
      <c r="D97" s="346" t="s">
        <v>1819</v>
      </c>
      <c r="E97" s="349" t="s">
        <v>1044</v>
      </c>
      <c r="F97" s="350" t="s">
        <v>19</v>
      </c>
      <c r="G97" s="350" t="s">
        <v>1045</v>
      </c>
      <c r="H97" s="351" t="s">
        <v>2001</v>
      </c>
      <c r="I97" s="352">
        <f>+(80576+60432)-32028.96</f>
        <v>108979.04000000001</v>
      </c>
      <c r="J97" s="352">
        <v>5448.95</v>
      </c>
      <c r="K97" s="352">
        <v>5448.95</v>
      </c>
      <c r="L97" s="352">
        <v>0</v>
      </c>
      <c r="M97" s="352">
        <v>0</v>
      </c>
      <c r="N97" s="352">
        <v>0</v>
      </c>
      <c r="O97" s="352">
        <f t="shared" si="12"/>
        <v>98081.140000000014</v>
      </c>
    </row>
    <row r="98" spans="1:15" s="353" customFormat="1" ht="206.25" x14ac:dyDescent="0.2">
      <c r="A98" s="346">
        <v>14</v>
      </c>
      <c r="B98" s="347" t="s">
        <v>1820</v>
      </c>
      <c r="C98" s="348" t="s">
        <v>1823</v>
      </c>
      <c r="D98" s="346" t="s">
        <v>1824</v>
      </c>
      <c r="E98" s="349" t="s">
        <v>335</v>
      </c>
      <c r="F98" s="350" t="s">
        <v>19</v>
      </c>
      <c r="G98" s="350" t="s">
        <v>1825</v>
      </c>
      <c r="H98" s="351" t="s">
        <v>2002</v>
      </c>
      <c r="I98" s="352">
        <f>45000+855000</f>
        <v>900000</v>
      </c>
      <c r="J98" s="352">
        <v>22500</v>
      </c>
      <c r="K98" s="352">
        <v>22500</v>
      </c>
      <c r="L98" s="352">
        <v>0</v>
      </c>
      <c r="M98" s="352">
        <v>0</v>
      </c>
      <c r="N98" s="352">
        <v>0</v>
      </c>
      <c r="O98" s="352">
        <f t="shared" si="12"/>
        <v>855000</v>
      </c>
    </row>
    <row r="99" spans="1:15" s="353" customFormat="1" ht="187.5" x14ac:dyDescent="0.2">
      <c r="A99" s="346">
        <v>15</v>
      </c>
      <c r="B99" s="347">
        <v>243161</v>
      </c>
      <c r="C99" s="348" t="s">
        <v>1109</v>
      </c>
      <c r="D99" s="346" t="s">
        <v>1836</v>
      </c>
      <c r="E99" s="349" t="s">
        <v>1202</v>
      </c>
      <c r="F99" s="350" t="s">
        <v>19</v>
      </c>
      <c r="G99" s="350" t="s">
        <v>1799</v>
      </c>
      <c r="H99" s="351" t="s">
        <v>2003</v>
      </c>
      <c r="I99" s="352">
        <v>180000</v>
      </c>
      <c r="J99" s="352">
        <v>0</v>
      </c>
      <c r="K99" s="352">
        <v>0</v>
      </c>
      <c r="L99" s="352">
        <v>0</v>
      </c>
      <c r="M99" s="352">
        <v>0</v>
      </c>
      <c r="N99" s="355" t="s">
        <v>1837</v>
      </c>
      <c r="O99" s="352">
        <f t="shared" si="12"/>
        <v>180000</v>
      </c>
    </row>
    <row r="100" spans="1:15" s="353" customFormat="1" ht="112.5" x14ac:dyDescent="0.2">
      <c r="A100" s="346">
        <v>16</v>
      </c>
      <c r="B100" s="347">
        <v>243161</v>
      </c>
      <c r="C100" s="348" t="s">
        <v>1109</v>
      </c>
      <c r="D100" s="346" t="s">
        <v>1844</v>
      </c>
      <c r="E100" s="349" t="s">
        <v>199</v>
      </c>
      <c r="F100" s="350" t="s">
        <v>19</v>
      </c>
      <c r="G100" s="350" t="s">
        <v>309</v>
      </c>
      <c r="H100" s="351" t="s">
        <v>2004</v>
      </c>
      <c r="I100" s="352">
        <v>190400</v>
      </c>
      <c r="J100" s="352">
        <v>0</v>
      </c>
      <c r="K100" s="352">
        <v>0</v>
      </c>
      <c r="L100" s="352">
        <v>0</v>
      </c>
      <c r="M100" s="352">
        <v>0</v>
      </c>
      <c r="N100" s="355" t="s">
        <v>1845</v>
      </c>
      <c r="O100" s="352">
        <f t="shared" si="12"/>
        <v>190400</v>
      </c>
    </row>
    <row r="101" spans="1:15" s="353" customFormat="1" ht="115.5" customHeight="1" x14ac:dyDescent="0.2">
      <c r="A101" s="346">
        <v>17</v>
      </c>
      <c r="B101" s="347">
        <v>243161</v>
      </c>
      <c r="C101" s="348" t="s">
        <v>1109</v>
      </c>
      <c r="D101" s="346" t="s">
        <v>1847</v>
      </c>
      <c r="E101" s="349" t="s">
        <v>199</v>
      </c>
      <c r="F101" s="350" t="s">
        <v>19</v>
      </c>
      <c r="G101" s="350" t="s">
        <v>1752</v>
      </c>
      <c r="H101" s="351" t="s">
        <v>2005</v>
      </c>
      <c r="I101" s="352">
        <v>1140000</v>
      </c>
      <c r="J101" s="352">
        <v>91200</v>
      </c>
      <c r="K101" s="352">
        <v>91200</v>
      </c>
      <c r="L101" s="352">
        <v>0</v>
      </c>
      <c r="M101" s="352">
        <v>0</v>
      </c>
      <c r="N101" s="352">
        <v>0</v>
      </c>
      <c r="O101" s="352">
        <f t="shared" si="12"/>
        <v>957600</v>
      </c>
    </row>
    <row r="102" spans="1:15" s="353" customFormat="1" ht="132.75" customHeight="1" x14ac:dyDescent="0.2">
      <c r="A102" s="346">
        <v>18</v>
      </c>
      <c r="B102" s="347">
        <v>243161</v>
      </c>
      <c r="C102" s="348" t="s">
        <v>1109</v>
      </c>
      <c r="D102" s="346" t="s">
        <v>1847</v>
      </c>
      <c r="E102" s="349" t="s">
        <v>199</v>
      </c>
      <c r="F102" s="350" t="s">
        <v>19</v>
      </c>
      <c r="G102" s="350" t="s">
        <v>1752</v>
      </c>
      <c r="H102" s="351" t="s">
        <v>2006</v>
      </c>
      <c r="I102" s="352">
        <v>60000</v>
      </c>
      <c r="J102" s="352">
        <v>4800</v>
      </c>
      <c r="K102" s="352">
        <v>4800</v>
      </c>
      <c r="L102" s="352">
        <v>0</v>
      </c>
      <c r="M102" s="352">
        <v>0</v>
      </c>
      <c r="N102" s="352">
        <v>0</v>
      </c>
      <c r="O102" s="352">
        <f t="shared" si="12"/>
        <v>50400</v>
      </c>
    </row>
    <row r="103" spans="1:15" s="353" customFormat="1" x14ac:dyDescent="0.2">
      <c r="A103" s="356" t="s">
        <v>1067</v>
      </c>
      <c r="B103" s="357"/>
      <c r="C103" s="358"/>
      <c r="D103" s="359"/>
      <c r="E103" s="356"/>
      <c r="F103" s="360"/>
      <c r="G103" s="360"/>
      <c r="H103" s="361"/>
      <c r="I103" s="362">
        <f t="shared" ref="I103:O103" si="13">SUM(I104:I119)</f>
        <v>4608282</v>
      </c>
      <c r="J103" s="362">
        <f t="shared" si="13"/>
        <v>298486</v>
      </c>
      <c r="K103" s="362">
        <f t="shared" si="13"/>
        <v>298486</v>
      </c>
      <c r="L103" s="362">
        <f t="shared" si="13"/>
        <v>0</v>
      </c>
      <c r="M103" s="362">
        <f t="shared" si="13"/>
        <v>0</v>
      </c>
      <c r="N103" s="362">
        <f t="shared" si="13"/>
        <v>0</v>
      </c>
      <c r="O103" s="362">
        <f t="shared" si="13"/>
        <v>4011310</v>
      </c>
    </row>
    <row r="104" spans="1:15" s="353" customFormat="1" ht="75" x14ac:dyDescent="0.2">
      <c r="A104" s="346">
        <v>1</v>
      </c>
      <c r="B104" s="347">
        <v>242821</v>
      </c>
      <c r="C104" s="348" t="s">
        <v>895</v>
      </c>
      <c r="D104" s="346" t="s">
        <v>896</v>
      </c>
      <c r="E104" s="349" t="s">
        <v>897</v>
      </c>
      <c r="F104" s="350" t="s">
        <v>117</v>
      </c>
      <c r="G104" s="350" t="s">
        <v>898</v>
      </c>
      <c r="H104" s="351" t="s">
        <v>2007</v>
      </c>
      <c r="I104" s="352">
        <v>60000</v>
      </c>
      <c r="J104" s="352">
        <v>4800</v>
      </c>
      <c r="K104" s="352">
        <v>4800</v>
      </c>
      <c r="L104" s="352">
        <v>0</v>
      </c>
      <c r="M104" s="352">
        <v>0</v>
      </c>
      <c r="N104" s="352">
        <v>0</v>
      </c>
      <c r="O104" s="352">
        <f t="shared" ref="O104:O119" si="14">+I104-(SUM(J104:N104))</f>
        <v>50400</v>
      </c>
    </row>
    <row r="105" spans="1:15" s="353" customFormat="1" ht="93.75" x14ac:dyDescent="0.2">
      <c r="A105" s="346">
        <v>2</v>
      </c>
      <c r="B105" s="347">
        <v>242824</v>
      </c>
      <c r="C105" s="348" t="s">
        <v>899</v>
      </c>
      <c r="D105" s="346" t="s">
        <v>900</v>
      </c>
      <c r="E105" s="349" t="s">
        <v>115</v>
      </c>
      <c r="F105" s="350" t="s">
        <v>117</v>
      </c>
      <c r="G105" s="350" t="s">
        <v>326</v>
      </c>
      <c r="H105" s="351" t="s">
        <v>901</v>
      </c>
      <c r="I105" s="352">
        <v>110000</v>
      </c>
      <c r="J105" s="352">
        <v>5500</v>
      </c>
      <c r="K105" s="352">
        <v>5500</v>
      </c>
      <c r="L105" s="352">
        <v>0</v>
      </c>
      <c r="M105" s="352">
        <v>0</v>
      </c>
      <c r="N105" s="352">
        <v>0</v>
      </c>
      <c r="O105" s="352">
        <f t="shared" si="14"/>
        <v>99000</v>
      </c>
    </row>
    <row r="106" spans="1:15" s="353" customFormat="1" ht="93.75" x14ac:dyDescent="0.2">
      <c r="A106" s="346">
        <v>3</v>
      </c>
      <c r="B106" s="347" t="s">
        <v>902</v>
      </c>
      <c r="C106" s="348" t="s">
        <v>903</v>
      </c>
      <c r="D106" s="346" t="s">
        <v>904</v>
      </c>
      <c r="E106" s="349" t="s">
        <v>115</v>
      </c>
      <c r="F106" s="350" t="s">
        <v>117</v>
      </c>
      <c r="G106" s="350" t="s">
        <v>544</v>
      </c>
      <c r="H106" s="351" t="s">
        <v>901</v>
      </c>
      <c r="I106" s="352">
        <f>359000+49000</f>
        <v>408000</v>
      </c>
      <c r="J106" s="352">
        <f>17950+2450</f>
        <v>20400</v>
      </c>
      <c r="K106" s="352">
        <f>17950+2450</f>
        <v>20400</v>
      </c>
      <c r="L106" s="352">
        <v>0</v>
      </c>
      <c r="M106" s="352">
        <v>0</v>
      </c>
      <c r="N106" s="352">
        <v>0</v>
      </c>
      <c r="O106" s="352">
        <f t="shared" si="14"/>
        <v>367200</v>
      </c>
    </row>
    <row r="107" spans="1:15" s="353" customFormat="1" ht="93.75" x14ac:dyDescent="0.2">
      <c r="A107" s="346">
        <v>4</v>
      </c>
      <c r="B107" s="347" t="s">
        <v>1623</v>
      </c>
      <c r="C107" s="348" t="s">
        <v>1629</v>
      </c>
      <c r="D107" s="346" t="s">
        <v>1630</v>
      </c>
      <c r="E107" s="349" t="s">
        <v>115</v>
      </c>
      <c r="F107" s="350" t="s">
        <v>117</v>
      </c>
      <c r="G107" s="350" t="s">
        <v>441</v>
      </c>
      <c r="H107" s="351" t="s">
        <v>2008</v>
      </c>
      <c r="I107" s="352">
        <f>1000+1250+850</f>
        <v>3100</v>
      </c>
      <c r="J107" s="352">
        <v>0</v>
      </c>
      <c r="K107" s="352">
        <v>0</v>
      </c>
      <c r="L107" s="352">
        <v>0</v>
      </c>
      <c r="M107" s="352">
        <v>0</v>
      </c>
      <c r="N107" s="355" t="s">
        <v>1631</v>
      </c>
      <c r="O107" s="352">
        <f t="shared" si="14"/>
        <v>3100</v>
      </c>
    </row>
    <row r="108" spans="1:15" s="353" customFormat="1" ht="93.75" x14ac:dyDescent="0.2">
      <c r="A108" s="346">
        <v>5</v>
      </c>
      <c r="B108" s="347" t="s">
        <v>1623</v>
      </c>
      <c r="C108" s="348" t="s">
        <v>1632</v>
      </c>
      <c r="D108" s="346" t="s">
        <v>1633</v>
      </c>
      <c r="E108" s="349" t="s">
        <v>115</v>
      </c>
      <c r="F108" s="350" t="s">
        <v>117</v>
      </c>
      <c r="G108" s="350" t="s">
        <v>551</v>
      </c>
      <c r="H108" s="351" t="s">
        <v>901</v>
      </c>
      <c r="I108" s="352">
        <f>418000+70000</f>
        <v>488000</v>
      </c>
      <c r="J108" s="352">
        <f>20900+3500</f>
        <v>24400</v>
      </c>
      <c r="K108" s="352">
        <f>20900+3500</f>
        <v>24400</v>
      </c>
      <c r="L108" s="352">
        <v>0</v>
      </c>
      <c r="M108" s="352">
        <v>0</v>
      </c>
      <c r="N108" s="352">
        <v>0</v>
      </c>
      <c r="O108" s="352">
        <f t="shared" si="14"/>
        <v>439200</v>
      </c>
    </row>
    <row r="109" spans="1:15" s="353" customFormat="1" ht="93.75" x14ac:dyDescent="0.2">
      <c r="A109" s="346">
        <v>6</v>
      </c>
      <c r="B109" s="347" t="s">
        <v>1638</v>
      </c>
      <c r="C109" s="348" t="s">
        <v>1639</v>
      </c>
      <c r="D109" s="346" t="s">
        <v>1640</v>
      </c>
      <c r="E109" s="349" t="s">
        <v>115</v>
      </c>
      <c r="F109" s="350" t="s">
        <v>117</v>
      </c>
      <c r="G109" s="350" t="s">
        <v>318</v>
      </c>
      <c r="H109" s="351" t="s">
        <v>2008</v>
      </c>
      <c r="I109" s="352">
        <v>1250</v>
      </c>
      <c r="J109" s="352">
        <v>0</v>
      </c>
      <c r="K109" s="352">
        <v>0</v>
      </c>
      <c r="L109" s="352">
        <v>0</v>
      </c>
      <c r="M109" s="352">
        <v>0</v>
      </c>
      <c r="N109" s="355" t="s">
        <v>1631</v>
      </c>
      <c r="O109" s="352">
        <f t="shared" si="14"/>
        <v>1250</v>
      </c>
    </row>
    <row r="110" spans="1:15" s="353" customFormat="1" ht="93.75" x14ac:dyDescent="0.2">
      <c r="A110" s="346">
        <v>7</v>
      </c>
      <c r="B110" s="347" t="s">
        <v>1638</v>
      </c>
      <c r="C110" s="348" t="s">
        <v>1641</v>
      </c>
      <c r="D110" s="346" t="s">
        <v>1642</v>
      </c>
      <c r="E110" s="349" t="s">
        <v>115</v>
      </c>
      <c r="F110" s="350" t="s">
        <v>117</v>
      </c>
      <c r="G110" s="350" t="s">
        <v>444</v>
      </c>
      <c r="H110" s="351" t="s">
        <v>901</v>
      </c>
      <c r="I110" s="352">
        <v>107000</v>
      </c>
      <c r="J110" s="352">
        <v>5350</v>
      </c>
      <c r="K110" s="352">
        <v>5350</v>
      </c>
      <c r="L110" s="352">
        <v>0</v>
      </c>
      <c r="M110" s="352">
        <v>0</v>
      </c>
      <c r="N110" s="352">
        <v>0</v>
      </c>
      <c r="O110" s="352">
        <f t="shared" si="14"/>
        <v>96300</v>
      </c>
    </row>
    <row r="111" spans="1:15" s="353" customFormat="1" ht="131.25" x14ac:dyDescent="0.2">
      <c r="A111" s="346">
        <v>8</v>
      </c>
      <c r="B111" s="347" t="s">
        <v>1643</v>
      </c>
      <c r="C111" s="348" t="s">
        <v>1644</v>
      </c>
      <c r="D111" s="346" t="s">
        <v>1645</v>
      </c>
      <c r="E111" s="349" t="s">
        <v>302</v>
      </c>
      <c r="F111" s="350" t="s">
        <v>117</v>
      </c>
      <c r="G111" s="350" t="s">
        <v>444</v>
      </c>
      <c r="H111" s="351" t="s">
        <v>1024</v>
      </c>
      <c r="I111" s="352">
        <f>48000+24000</f>
        <v>72000</v>
      </c>
      <c r="J111" s="352">
        <f>2400+1200</f>
        <v>3600</v>
      </c>
      <c r="K111" s="352">
        <f>2400+1200</f>
        <v>3600</v>
      </c>
      <c r="L111" s="352">
        <v>0</v>
      </c>
      <c r="M111" s="352">
        <v>0</v>
      </c>
      <c r="N111" s="352">
        <v>0</v>
      </c>
      <c r="O111" s="352">
        <f t="shared" si="14"/>
        <v>64800</v>
      </c>
    </row>
    <row r="112" spans="1:15" s="353" customFormat="1" ht="93.75" x14ac:dyDescent="0.2">
      <c r="A112" s="346">
        <v>9</v>
      </c>
      <c r="B112" s="347" t="s">
        <v>1646</v>
      </c>
      <c r="C112" s="348" t="s">
        <v>1647</v>
      </c>
      <c r="D112" s="346" t="s">
        <v>1648</v>
      </c>
      <c r="E112" s="349" t="s">
        <v>115</v>
      </c>
      <c r="F112" s="350" t="s">
        <v>117</v>
      </c>
      <c r="G112" s="350" t="s">
        <v>303</v>
      </c>
      <c r="H112" s="351" t="s">
        <v>901</v>
      </c>
      <c r="I112" s="352">
        <v>50000</v>
      </c>
      <c r="J112" s="352">
        <v>2500</v>
      </c>
      <c r="K112" s="352">
        <v>2500</v>
      </c>
      <c r="L112" s="352">
        <v>0</v>
      </c>
      <c r="M112" s="352">
        <v>0</v>
      </c>
      <c r="N112" s="352">
        <v>0</v>
      </c>
      <c r="O112" s="352">
        <f t="shared" si="14"/>
        <v>45000</v>
      </c>
    </row>
    <row r="113" spans="1:15" s="353" customFormat="1" ht="93.75" x14ac:dyDescent="0.2">
      <c r="A113" s="346">
        <v>10</v>
      </c>
      <c r="B113" s="347" t="s">
        <v>1764</v>
      </c>
      <c r="C113" s="348" t="s">
        <v>903</v>
      </c>
      <c r="D113" s="346" t="s">
        <v>1765</v>
      </c>
      <c r="E113" s="349" t="s">
        <v>115</v>
      </c>
      <c r="F113" s="350" t="s">
        <v>117</v>
      </c>
      <c r="G113" s="350" t="s">
        <v>318</v>
      </c>
      <c r="H113" s="351" t="s">
        <v>1766</v>
      </c>
      <c r="I113" s="352">
        <v>20000</v>
      </c>
      <c r="J113" s="352">
        <v>1600</v>
      </c>
      <c r="K113" s="352">
        <v>1600</v>
      </c>
      <c r="L113" s="352">
        <v>0</v>
      </c>
      <c r="M113" s="352">
        <v>0</v>
      </c>
      <c r="N113" s="352">
        <v>0</v>
      </c>
      <c r="O113" s="352">
        <f t="shared" si="14"/>
        <v>16800</v>
      </c>
    </row>
    <row r="114" spans="1:15" s="353" customFormat="1" ht="187.5" x14ac:dyDescent="0.2">
      <c r="A114" s="346">
        <v>11</v>
      </c>
      <c r="B114" s="347" t="s">
        <v>1782</v>
      </c>
      <c r="C114" s="348" t="s">
        <v>1783</v>
      </c>
      <c r="D114" s="346" t="s">
        <v>1784</v>
      </c>
      <c r="E114" s="349" t="s">
        <v>1785</v>
      </c>
      <c r="F114" s="350" t="s">
        <v>117</v>
      </c>
      <c r="G114" s="350" t="s">
        <v>930</v>
      </c>
      <c r="H114" s="351" t="s">
        <v>2009</v>
      </c>
      <c r="I114" s="352">
        <v>407140</v>
      </c>
      <c r="J114" s="352"/>
      <c r="K114" s="352">
        <v>0</v>
      </c>
      <c r="L114" s="352">
        <v>0</v>
      </c>
      <c r="M114" s="352">
        <v>0</v>
      </c>
      <c r="N114" s="355" t="s">
        <v>1786</v>
      </c>
      <c r="O114" s="352">
        <f t="shared" si="14"/>
        <v>407140</v>
      </c>
    </row>
    <row r="115" spans="1:15" s="353" customFormat="1" ht="93.75" x14ac:dyDescent="0.2">
      <c r="A115" s="346">
        <v>12</v>
      </c>
      <c r="B115" s="347" t="s">
        <v>1796</v>
      </c>
      <c r="C115" s="348" t="s">
        <v>1800</v>
      </c>
      <c r="D115" s="346" t="s">
        <v>1801</v>
      </c>
      <c r="E115" s="349" t="s">
        <v>1802</v>
      </c>
      <c r="F115" s="350" t="s">
        <v>1067</v>
      </c>
      <c r="G115" s="350" t="s">
        <v>1803</v>
      </c>
      <c r="H115" s="351" t="s">
        <v>2010</v>
      </c>
      <c r="I115" s="352">
        <v>18792</v>
      </c>
      <c r="J115" s="352">
        <v>1296</v>
      </c>
      <c r="K115" s="352">
        <v>1296</v>
      </c>
      <c r="L115" s="352">
        <v>0</v>
      </c>
      <c r="M115" s="352">
        <v>0</v>
      </c>
      <c r="N115" s="352">
        <v>0</v>
      </c>
      <c r="O115" s="352">
        <f>+I115-(SUM(J115:N115))</f>
        <v>16200</v>
      </c>
    </row>
    <row r="116" spans="1:15" s="353" customFormat="1" ht="77.25" customHeight="1" x14ac:dyDescent="0.2">
      <c r="A116" s="346">
        <v>13</v>
      </c>
      <c r="B116" s="347" t="s">
        <v>1811</v>
      </c>
      <c r="C116" s="348" t="s">
        <v>1812</v>
      </c>
      <c r="D116" s="346" t="s">
        <v>1813</v>
      </c>
      <c r="E116" s="349" t="s">
        <v>115</v>
      </c>
      <c r="F116" s="350" t="s">
        <v>117</v>
      </c>
      <c r="G116" s="350" t="s">
        <v>318</v>
      </c>
      <c r="H116" s="351" t="s">
        <v>1766</v>
      </c>
      <c r="I116" s="352">
        <v>19000</v>
      </c>
      <c r="J116" s="352">
        <v>1520</v>
      </c>
      <c r="K116" s="352">
        <v>1520</v>
      </c>
      <c r="L116" s="352">
        <v>0</v>
      </c>
      <c r="M116" s="352">
        <v>0</v>
      </c>
      <c r="N116" s="352">
        <v>0</v>
      </c>
      <c r="O116" s="352">
        <f t="shared" si="14"/>
        <v>15960</v>
      </c>
    </row>
    <row r="117" spans="1:15" s="353" customFormat="1" ht="78" customHeight="1" x14ac:dyDescent="0.2">
      <c r="A117" s="346">
        <v>14</v>
      </c>
      <c r="B117" s="347" t="s">
        <v>1829</v>
      </c>
      <c r="C117" s="348" t="s">
        <v>1812</v>
      </c>
      <c r="D117" s="346" t="s">
        <v>1834</v>
      </c>
      <c r="E117" s="349" t="s">
        <v>115</v>
      </c>
      <c r="F117" s="350" t="s">
        <v>117</v>
      </c>
      <c r="G117" s="350" t="s">
        <v>1835</v>
      </c>
      <c r="H117" s="351" t="s">
        <v>1766</v>
      </c>
      <c r="I117" s="352">
        <f>468000+20000</f>
        <v>488000</v>
      </c>
      <c r="J117" s="352">
        <v>39040</v>
      </c>
      <c r="K117" s="352">
        <v>39040</v>
      </c>
      <c r="L117" s="352">
        <v>0</v>
      </c>
      <c r="M117" s="352">
        <v>0</v>
      </c>
      <c r="N117" s="352">
        <v>0</v>
      </c>
      <c r="O117" s="352">
        <f t="shared" si="14"/>
        <v>409920</v>
      </c>
    </row>
    <row r="118" spans="1:15" s="353" customFormat="1" ht="75" x14ac:dyDescent="0.2">
      <c r="A118" s="346">
        <v>15</v>
      </c>
      <c r="B118" s="347">
        <v>243161</v>
      </c>
      <c r="C118" s="348" t="s">
        <v>1109</v>
      </c>
      <c r="D118" s="346" t="s">
        <v>1848</v>
      </c>
      <c r="E118" s="349" t="s">
        <v>302</v>
      </c>
      <c r="F118" s="350" t="s">
        <v>117</v>
      </c>
      <c r="G118" s="350" t="s">
        <v>318</v>
      </c>
      <c r="H118" s="351" t="s">
        <v>1849</v>
      </c>
      <c r="I118" s="352">
        <v>25000</v>
      </c>
      <c r="J118" s="352">
        <v>2000</v>
      </c>
      <c r="K118" s="352">
        <v>2000</v>
      </c>
      <c r="L118" s="352">
        <v>0</v>
      </c>
      <c r="M118" s="352">
        <v>0</v>
      </c>
      <c r="N118" s="352">
        <v>0</v>
      </c>
      <c r="O118" s="352">
        <f t="shared" si="14"/>
        <v>21000</v>
      </c>
    </row>
    <row r="119" spans="1:15" s="353" customFormat="1" ht="74.25" customHeight="1" x14ac:dyDescent="0.2">
      <c r="A119" s="346">
        <v>16</v>
      </c>
      <c r="B119" s="347">
        <v>243161</v>
      </c>
      <c r="C119" s="348" t="s">
        <v>1109</v>
      </c>
      <c r="D119" s="346" t="s">
        <v>1850</v>
      </c>
      <c r="E119" s="349" t="s">
        <v>115</v>
      </c>
      <c r="F119" s="350" t="s">
        <v>117</v>
      </c>
      <c r="G119" s="350" t="s">
        <v>1851</v>
      </c>
      <c r="H119" s="351" t="s">
        <v>1766</v>
      </c>
      <c r="I119" s="352">
        <v>2331000</v>
      </c>
      <c r="J119" s="352">
        <v>186480</v>
      </c>
      <c r="K119" s="352">
        <v>186480</v>
      </c>
      <c r="L119" s="352">
        <v>0</v>
      </c>
      <c r="M119" s="352">
        <v>0</v>
      </c>
      <c r="N119" s="352">
        <v>0</v>
      </c>
      <c r="O119" s="352">
        <f t="shared" si="14"/>
        <v>1958040</v>
      </c>
    </row>
    <row r="120" spans="1:15" s="353" customFormat="1" x14ac:dyDescent="0.2">
      <c r="A120" s="356" t="s">
        <v>706</v>
      </c>
      <c r="B120" s="357"/>
      <c r="C120" s="358"/>
      <c r="D120" s="359"/>
      <c r="E120" s="356"/>
      <c r="F120" s="360"/>
      <c r="G120" s="360"/>
      <c r="H120" s="361"/>
      <c r="I120" s="362">
        <f>SUM(I121:I126)</f>
        <v>2115946</v>
      </c>
      <c r="J120" s="362">
        <f t="shared" ref="J120:O120" si="15">SUM(J121:J126)</f>
        <v>0</v>
      </c>
      <c r="K120" s="362">
        <f t="shared" si="15"/>
        <v>0</v>
      </c>
      <c r="L120" s="362">
        <f t="shared" si="15"/>
        <v>35745.504999999997</v>
      </c>
      <c r="M120" s="362">
        <f t="shared" si="15"/>
        <v>35745.495000000003</v>
      </c>
      <c r="N120" s="362">
        <f t="shared" si="15"/>
        <v>0</v>
      </c>
      <c r="O120" s="362">
        <f t="shared" si="15"/>
        <v>2044455</v>
      </c>
    </row>
    <row r="121" spans="1:15" s="353" customFormat="1" ht="168.75" x14ac:dyDescent="0.2">
      <c r="A121" s="346">
        <v>1</v>
      </c>
      <c r="B121" s="347" t="s">
        <v>1623</v>
      </c>
      <c r="C121" s="348" t="s">
        <v>1702</v>
      </c>
      <c r="D121" s="346" t="s">
        <v>1703</v>
      </c>
      <c r="E121" s="349" t="s">
        <v>1704</v>
      </c>
      <c r="F121" s="350" t="s">
        <v>706</v>
      </c>
      <c r="G121" s="350" t="s">
        <v>309</v>
      </c>
      <c r="H121" s="351" t="s">
        <v>1705</v>
      </c>
      <c r="I121" s="352">
        <v>24897.25</v>
      </c>
      <c r="J121" s="352">
        <v>0</v>
      </c>
      <c r="K121" s="352">
        <v>0</v>
      </c>
      <c r="L121" s="352">
        <v>12448.625</v>
      </c>
      <c r="M121" s="352">
        <v>12448.625</v>
      </c>
      <c r="N121" s="352">
        <v>0</v>
      </c>
      <c r="O121" s="352">
        <f t="shared" ref="O121:O126" si="16">+I121-(SUM(J121:N121))</f>
        <v>0</v>
      </c>
    </row>
    <row r="122" spans="1:15" s="353" customFormat="1" ht="135" customHeight="1" x14ac:dyDescent="0.2">
      <c r="A122" s="346">
        <v>2</v>
      </c>
      <c r="B122" s="347" t="s">
        <v>1623</v>
      </c>
      <c r="C122" s="348" t="s">
        <v>1706</v>
      </c>
      <c r="D122" s="346" t="s">
        <v>1703</v>
      </c>
      <c r="E122" s="349" t="s">
        <v>1704</v>
      </c>
      <c r="F122" s="350" t="s">
        <v>706</v>
      </c>
      <c r="G122" s="350" t="s">
        <v>309</v>
      </c>
      <c r="H122" s="351" t="s">
        <v>1707</v>
      </c>
      <c r="I122" s="352">
        <v>27000</v>
      </c>
      <c r="J122" s="352">
        <v>0</v>
      </c>
      <c r="K122" s="352">
        <v>0</v>
      </c>
      <c r="L122" s="352">
        <v>13500</v>
      </c>
      <c r="M122" s="352">
        <v>13500</v>
      </c>
      <c r="N122" s="352">
        <v>0</v>
      </c>
      <c r="O122" s="352">
        <f t="shared" si="16"/>
        <v>0</v>
      </c>
    </row>
    <row r="123" spans="1:15" s="353" customFormat="1" ht="243.75" x14ac:dyDescent="0.2">
      <c r="A123" s="346">
        <v>3</v>
      </c>
      <c r="B123" s="347" t="s">
        <v>1730</v>
      </c>
      <c r="C123" s="348" t="s">
        <v>1731</v>
      </c>
      <c r="D123" s="346" t="s">
        <v>1732</v>
      </c>
      <c r="E123" s="349" t="s">
        <v>1733</v>
      </c>
      <c r="F123" s="350" t="s">
        <v>706</v>
      </c>
      <c r="G123" s="350" t="s">
        <v>309</v>
      </c>
      <c r="H123" s="351" t="s">
        <v>1734</v>
      </c>
      <c r="I123" s="352">
        <v>15093.75</v>
      </c>
      <c r="J123" s="352">
        <v>0</v>
      </c>
      <c r="K123" s="352">
        <v>0</v>
      </c>
      <c r="L123" s="352">
        <v>7546.88</v>
      </c>
      <c r="M123" s="352">
        <v>7546.87</v>
      </c>
      <c r="N123" s="352">
        <v>0</v>
      </c>
      <c r="O123" s="352">
        <f t="shared" si="16"/>
        <v>0</v>
      </c>
    </row>
    <row r="124" spans="1:15" s="353" customFormat="1" ht="150" x14ac:dyDescent="0.2">
      <c r="A124" s="346">
        <v>4</v>
      </c>
      <c r="B124" s="347" t="s">
        <v>1738</v>
      </c>
      <c r="C124" s="348" t="s">
        <v>1739</v>
      </c>
      <c r="D124" s="346" t="s">
        <v>1740</v>
      </c>
      <c r="E124" s="349" t="s">
        <v>1741</v>
      </c>
      <c r="F124" s="350" t="s">
        <v>706</v>
      </c>
      <c r="G124" s="350" t="s">
        <v>1253</v>
      </c>
      <c r="H124" s="351" t="s">
        <v>2011</v>
      </c>
      <c r="I124" s="352">
        <v>1739100</v>
      </c>
      <c r="J124" s="352">
        <v>0</v>
      </c>
      <c r="K124" s="352">
        <v>0</v>
      </c>
      <c r="L124" s="352">
        <v>0</v>
      </c>
      <c r="M124" s="352">
        <v>0</v>
      </c>
      <c r="N124" s="355" t="s">
        <v>1742</v>
      </c>
      <c r="O124" s="352">
        <f t="shared" si="16"/>
        <v>1739100</v>
      </c>
    </row>
    <row r="125" spans="1:15" s="353" customFormat="1" ht="150" x14ac:dyDescent="0.2">
      <c r="A125" s="346">
        <v>5</v>
      </c>
      <c r="B125" s="347" t="s">
        <v>1778</v>
      </c>
      <c r="C125" s="348" t="s">
        <v>1881</v>
      </c>
      <c r="D125" s="346" t="s">
        <v>1882</v>
      </c>
      <c r="E125" s="349" t="s">
        <v>1704</v>
      </c>
      <c r="F125" s="350" t="s">
        <v>706</v>
      </c>
      <c r="G125" s="350" t="s">
        <v>309</v>
      </c>
      <c r="H125" s="351" t="s">
        <v>1883</v>
      </c>
      <c r="I125" s="352">
        <v>4500</v>
      </c>
      <c r="J125" s="352"/>
      <c r="K125" s="352"/>
      <c r="L125" s="352">
        <v>2250</v>
      </c>
      <c r="M125" s="352">
        <v>2250</v>
      </c>
      <c r="N125" s="355"/>
      <c r="O125" s="352">
        <f t="shared" si="16"/>
        <v>0</v>
      </c>
    </row>
    <row r="126" spans="1:15" s="353" customFormat="1" ht="190.5" customHeight="1" x14ac:dyDescent="0.2">
      <c r="A126" s="346">
        <v>6</v>
      </c>
      <c r="B126" s="347" t="s">
        <v>1782</v>
      </c>
      <c r="C126" s="348" t="s">
        <v>1783</v>
      </c>
      <c r="D126" s="346" t="s">
        <v>1784</v>
      </c>
      <c r="E126" s="349" t="s">
        <v>705</v>
      </c>
      <c r="F126" s="350" t="s">
        <v>706</v>
      </c>
      <c r="G126" s="350" t="s">
        <v>930</v>
      </c>
      <c r="H126" s="351" t="s">
        <v>2012</v>
      </c>
      <c r="I126" s="352">
        <v>305355</v>
      </c>
      <c r="J126" s="352">
        <v>0</v>
      </c>
      <c r="K126" s="352">
        <v>0</v>
      </c>
      <c r="L126" s="352">
        <v>0</v>
      </c>
      <c r="M126" s="352">
        <v>0</v>
      </c>
      <c r="N126" s="355" t="s">
        <v>1786</v>
      </c>
      <c r="O126" s="352">
        <f t="shared" si="16"/>
        <v>305355</v>
      </c>
    </row>
    <row r="127" spans="1:15" s="353" customFormat="1" x14ac:dyDescent="0.2">
      <c r="A127" s="356" t="s">
        <v>152</v>
      </c>
      <c r="B127" s="357"/>
      <c r="C127" s="358"/>
      <c r="D127" s="359"/>
      <c r="E127" s="356"/>
      <c r="F127" s="360"/>
      <c r="G127" s="360"/>
      <c r="H127" s="361"/>
      <c r="I127" s="362">
        <f>SUM(I128:I134)</f>
        <v>2703220</v>
      </c>
      <c r="J127" s="362">
        <f t="shared" ref="J127:O127" si="17">SUM(J128:J134)</f>
        <v>80000</v>
      </c>
      <c r="K127" s="362">
        <f t="shared" si="17"/>
        <v>80000</v>
      </c>
      <c r="L127" s="362">
        <f t="shared" si="17"/>
        <v>0</v>
      </c>
      <c r="M127" s="362">
        <f t="shared" si="17"/>
        <v>0</v>
      </c>
      <c r="N127" s="362">
        <f t="shared" si="17"/>
        <v>0</v>
      </c>
      <c r="O127" s="362">
        <f t="shared" si="17"/>
        <v>2543220</v>
      </c>
    </row>
    <row r="128" spans="1:15" s="353" customFormat="1" ht="150" x14ac:dyDescent="0.2">
      <c r="A128" s="346">
        <v>1</v>
      </c>
      <c r="B128" s="347" t="s">
        <v>1652</v>
      </c>
      <c r="C128" s="348" t="s">
        <v>1711</v>
      </c>
      <c r="D128" s="346" t="s">
        <v>1712</v>
      </c>
      <c r="E128" s="349" t="s">
        <v>1251</v>
      </c>
      <c r="F128" s="350" t="s">
        <v>1252</v>
      </c>
      <c r="G128" s="350" t="s">
        <v>1253</v>
      </c>
      <c r="H128" s="351" t="s">
        <v>2013</v>
      </c>
      <c r="I128" s="352">
        <v>150000</v>
      </c>
      <c r="J128" s="352">
        <v>0</v>
      </c>
      <c r="K128" s="352">
        <v>0</v>
      </c>
      <c r="L128" s="352">
        <v>0</v>
      </c>
      <c r="M128" s="352">
        <v>0</v>
      </c>
      <c r="N128" s="355" t="s">
        <v>1713</v>
      </c>
      <c r="O128" s="352">
        <f t="shared" ref="O128:O134" si="18">+I128-(SUM(J128:N128))</f>
        <v>150000</v>
      </c>
    </row>
    <row r="129" spans="1:15" s="353" customFormat="1" ht="173.25" customHeight="1" x14ac:dyDescent="0.2">
      <c r="A129" s="346">
        <v>2</v>
      </c>
      <c r="B129" s="347" t="s">
        <v>1716</v>
      </c>
      <c r="C129" s="348" t="s">
        <v>1717</v>
      </c>
      <c r="D129" s="346" t="s">
        <v>1718</v>
      </c>
      <c r="E129" s="349" t="s">
        <v>1202</v>
      </c>
      <c r="F129" s="350" t="s">
        <v>1203</v>
      </c>
      <c r="G129" s="350" t="s">
        <v>1677</v>
      </c>
      <c r="H129" s="351" t="s">
        <v>1719</v>
      </c>
      <c r="I129" s="352">
        <v>250000</v>
      </c>
      <c r="J129" s="352">
        <v>20000</v>
      </c>
      <c r="K129" s="352">
        <v>20000</v>
      </c>
      <c r="L129" s="352">
        <v>0</v>
      </c>
      <c r="M129" s="352">
        <v>0</v>
      </c>
      <c r="N129" s="352">
        <v>0</v>
      </c>
      <c r="O129" s="352">
        <f t="shared" si="18"/>
        <v>210000</v>
      </c>
    </row>
    <row r="130" spans="1:15" s="353" customFormat="1" ht="150" x14ac:dyDescent="0.2">
      <c r="A130" s="346">
        <v>3</v>
      </c>
      <c r="B130" s="347" t="s">
        <v>1716</v>
      </c>
      <c r="C130" s="348" t="s">
        <v>1717</v>
      </c>
      <c r="D130" s="346" t="s">
        <v>1718</v>
      </c>
      <c r="E130" s="349" t="s">
        <v>1206</v>
      </c>
      <c r="F130" s="350" t="s">
        <v>1203</v>
      </c>
      <c r="G130" s="350" t="s">
        <v>1677</v>
      </c>
      <c r="H130" s="351" t="s">
        <v>1720</v>
      </c>
      <c r="I130" s="352">
        <v>250000</v>
      </c>
      <c r="J130" s="352">
        <v>20000</v>
      </c>
      <c r="K130" s="352">
        <v>20000</v>
      </c>
      <c r="L130" s="352">
        <v>0</v>
      </c>
      <c r="M130" s="352">
        <v>0</v>
      </c>
      <c r="N130" s="352">
        <v>0</v>
      </c>
      <c r="O130" s="352">
        <f t="shared" si="18"/>
        <v>210000</v>
      </c>
    </row>
    <row r="131" spans="1:15" s="353" customFormat="1" ht="150" x14ac:dyDescent="0.2">
      <c r="A131" s="346">
        <v>4</v>
      </c>
      <c r="B131" s="347" t="s">
        <v>1716</v>
      </c>
      <c r="C131" s="348" t="s">
        <v>1717</v>
      </c>
      <c r="D131" s="346" t="s">
        <v>1718</v>
      </c>
      <c r="E131" s="349" t="s">
        <v>963</v>
      </c>
      <c r="F131" s="350" t="s">
        <v>1203</v>
      </c>
      <c r="G131" s="350" t="s">
        <v>1677</v>
      </c>
      <c r="H131" s="351" t="s">
        <v>1721</v>
      </c>
      <c r="I131" s="352">
        <v>250000</v>
      </c>
      <c r="J131" s="352">
        <v>20000</v>
      </c>
      <c r="K131" s="352">
        <v>20000</v>
      </c>
      <c r="L131" s="352">
        <v>0</v>
      </c>
      <c r="M131" s="352">
        <v>0</v>
      </c>
      <c r="N131" s="352">
        <v>0</v>
      </c>
      <c r="O131" s="352">
        <f t="shared" si="18"/>
        <v>210000</v>
      </c>
    </row>
    <row r="132" spans="1:15" s="353" customFormat="1" ht="131.25" x14ac:dyDescent="0.2">
      <c r="A132" s="346">
        <v>5</v>
      </c>
      <c r="B132" s="347" t="s">
        <v>1716</v>
      </c>
      <c r="C132" s="348" t="s">
        <v>1717</v>
      </c>
      <c r="D132" s="346" t="s">
        <v>1718</v>
      </c>
      <c r="E132" s="349" t="s">
        <v>1722</v>
      </c>
      <c r="F132" s="350" t="s">
        <v>1203</v>
      </c>
      <c r="G132" s="350" t="s">
        <v>1677</v>
      </c>
      <c r="H132" s="351" t="s">
        <v>1723</v>
      </c>
      <c r="I132" s="352">
        <v>250000</v>
      </c>
      <c r="J132" s="352">
        <v>20000</v>
      </c>
      <c r="K132" s="352">
        <v>20000</v>
      </c>
      <c r="L132" s="352">
        <v>0</v>
      </c>
      <c r="M132" s="352">
        <v>0</v>
      </c>
      <c r="N132" s="352">
        <v>0</v>
      </c>
      <c r="O132" s="352">
        <f t="shared" si="18"/>
        <v>210000</v>
      </c>
    </row>
    <row r="133" spans="1:15" s="353" customFormat="1" ht="150" x14ac:dyDescent="0.2">
      <c r="A133" s="346">
        <v>6</v>
      </c>
      <c r="B133" s="347" t="s">
        <v>1874</v>
      </c>
      <c r="C133" s="348" t="s">
        <v>1875</v>
      </c>
      <c r="D133" s="346" t="s">
        <v>1876</v>
      </c>
      <c r="E133" s="349" t="s">
        <v>1877</v>
      </c>
      <c r="F133" s="350" t="s">
        <v>152</v>
      </c>
      <c r="G133" s="350" t="s">
        <v>1665</v>
      </c>
      <c r="H133" s="351" t="s">
        <v>2014</v>
      </c>
      <c r="I133" s="352">
        <v>150000</v>
      </c>
      <c r="J133" s="352">
        <v>0</v>
      </c>
      <c r="K133" s="352">
        <v>0</v>
      </c>
      <c r="L133" s="352">
        <v>0</v>
      </c>
      <c r="M133" s="352">
        <v>0</v>
      </c>
      <c r="N133" s="355" t="s">
        <v>1786</v>
      </c>
      <c r="O133" s="352">
        <f t="shared" si="18"/>
        <v>150000</v>
      </c>
    </row>
    <row r="134" spans="1:15" s="353" customFormat="1" ht="131.25" x14ac:dyDescent="0.2">
      <c r="A134" s="346">
        <v>7</v>
      </c>
      <c r="B134" s="347" t="s">
        <v>1807</v>
      </c>
      <c r="C134" s="348" t="s">
        <v>1808</v>
      </c>
      <c r="D134" s="346" t="s">
        <v>1809</v>
      </c>
      <c r="E134" s="349" t="s">
        <v>1251</v>
      </c>
      <c r="F134" s="350" t="s">
        <v>152</v>
      </c>
      <c r="G134" s="350" t="s">
        <v>1763</v>
      </c>
      <c r="H134" s="351" t="s">
        <v>2015</v>
      </c>
      <c r="I134" s="352">
        <v>1403220</v>
      </c>
      <c r="J134" s="352">
        <v>0</v>
      </c>
      <c r="K134" s="352">
        <v>0</v>
      </c>
      <c r="L134" s="352">
        <v>0</v>
      </c>
      <c r="M134" s="352">
        <v>0</v>
      </c>
      <c r="N134" s="355" t="s">
        <v>1786</v>
      </c>
      <c r="O134" s="352">
        <f t="shared" si="18"/>
        <v>1403220</v>
      </c>
    </row>
    <row r="135" spans="1:15" s="353" customFormat="1" x14ac:dyDescent="0.2">
      <c r="A135" s="356" t="s">
        <v>283</v>
      </c>
      <c r="B135" s="357"/>
      <c r="C135" s="358"/>
      <c r="D135" s="359"/>
      <c r="E135" s="356"/>
      <c r="F135" s="360"/>
      <c r="G135" s="360"/>
      <c r="H135" s="361"/>
      <c r="I135" s="362">
        <f>SUM(I136:I137)</f>
        <v>366582</v>
      </c>
      <c r="J135" s="362">
        <f t="shared" ref="J135:O135" si="19">SUM(J136:J137)</f>
        <v>29326.560000000001</v>
      </c>
      <c r="K135" s="362">
        <f t="shared" si="19"/>
        <v>29326.560000000001</v>
      </c>
      <c r="L135" s="362">
        <f t="shared" si="19"/>
        <v>0</v>
      </c>
      <c r="M135" s="362">
        <f t="shared" si="19"/>
        <v>0</v>
      </c>
      <c r="N135" s="362">
        <f t="shared" si="19"/>
        <v>0</v>
      </c>
      <c r="O135" s="362">
        <f t="shared" si="19"/>
        <v>307928.88</v>
      </c>
    </row>
    <row r="136" spans="1:15" s="353" customFormat="1" ht="187.5" x14ac:dyDescent="0.2">
      <c r="A136" s="346">
        <v>1</v>
      </c>
      <c r="B136" s="347" t="s">
        <v>1791</v>
      </c>
      <c r="C136" s="348" t="s">
        <v>1792</v>
      </c>
      <c r="D136" s="346" t="s">
        <v>1793</v>
      </c>
      <c r="E136" s="349" t="s">
        <v>1794</v>
      </c>
      <c r="F136" s="350" t="s">
        <v>283</v>
      </c>
      <c r="G136" s="350" t="s">
        <v>1795</v>
      </c>
      <c r="H136" s="351" t="s">
        <v>2016</v>
      </c>
      <c r="I136" s="352">
        <v>122194</v>
      </c>
      <c r="J136" s="352">
        <v>9775.52</v>
      </c>
      <c r="K136" s="352">
        <v>9775.52</v>
      </c>
      <c r="L136" s="352">
        <v>0</v>
      </c>
      <c r="M136" s="352">
        <v>0</v>
      </c>
      <c r="N136" s="352">
        <v>0</v>
      </c>
      <c r="O136" s="352">
        <f>+I136-(SUM(J136:N136))</f>
        <v>102642.95999999999</v>
      </c>
    </row>
    <row r="137" spans="1:15" s="353" customFormat="1" ht="187.5" x14ac:dyDescent="0.2">
      <c r="A137" s="346">
        <v>2</v>
      </c>
      <c r="B137" s="347" t="s">
        <v>1814</v>
      </c>
      <c r="C137" s="348" t="s">
        <v>1815</v>
      </c>
      <c r="D137" s="346" t="s">
        <v>1816</v>
      </c>
      <c r="E137" s="349" t="s">
        <v>1794</v>
      </c>
      <c r="F137" s="350" t="s">
        <v>283</v>
      </c>
      <c r="G137" s="350" t="s">
        <v>1795</v>
      </c>
      <c r="H137" s="351" t="s">
        <v>2017</v>
      </c>
      <c r="I137" s="352">
        <v>244388</v>
      </c>
      <c r="J137" s="352">
        <v>19551.04</v>
      </c>
      <c r="K137" s="352">
        <v>19551.04</v>
      </c>
      <c r="L137" s="352">
        <v>0</v>
      </c>
      <c r="M137" s="352">
        <v>0</v>
      </c>
      <c r="N137" s="352">
        <v>0</v>
      </c>
      <c r="O137" s="352">
        <f>+I137-(SUM(J137:N137))</f>
        <v>205285.91999999998</v>
      </c>
    </row>
    <row r="138" spans="1:15" s="353" customFormat="1" x14ac:dyDescent="0.2">
      <c r="A138" s="356" t="s">
        <v>1904</v>
      </c>
      <c r="B138" s="357"/>
      <c r="C138" s="358"/>
      <c r="D138" s="359"/>
      <c r="E138" s="356"/>
      <c r="F138" s="360"/>
      <c r="G138" s="360"/>
      <c r="H138" s="361"/>
      <c r="I138" s="362">
        <f>SUM(I139)</f>
        <v>922108</v>
      </c>
      <c r="J138" s="362">
        <f t="shared" ref="J138:O138" si="20">SUM(J139)</f>
        <v>46105.4</v>
      </c>
      <c r="K138" s="362">
        <f t="shared" si="20"/>
        <v>46105.4</v>
      </c>
      <c r="L138" s="362">
        <f t="shared" si="20"/>
        <v>0</v>
      </c>
      <c r="M138" s="362">
        <f t="shared" si="20"/>
        <v>0</v>
      </c>
      <c r="N138" s="362">
        <f t="shared" si="20"/>
        <v>0</v>
      </c>
      <c r="O138" s="362">
        <f t="shared" si="20"/>
        <v>829897.2</v>
      </c>
    </row>
    <row r="139" spans="1:15" s="353" customFormat="1" ht="187.5" x14ac:dyDescent="0.2">
      <c r="A139" s="346">
        <v>1</v>
      </c>
      <c r="B139" s="347" t="s">
        <v>1817</v>
      </c>
      <c r="C139" s="348" t="s">
        <v>1902</v>
      </c>
      <c r="D139" s="346" t="s">
        <v>1903</v>
      </c>
      <c r="E139" s="349" t="s">
        <v>1132</v>
      </c>
      <c r="F139" s="350" t="s">
        <v>1904</v>
      </c>
      <c r="G139" s="350" t="s">
        <v>1134</v>
      </c>
      <c r="H139" s="351" t="s">
        <v>2018</v>
      </c>
      <c r="I139" s="352">
        <f>829897.2+92210.8</f>
        <v>922108</v>
      </c>
      <c r="J139" s="352">
        <v>46105.4</v>
      </c>
      <c r="K139" s="352">
        <v>46105.4</v>
      </c>
      <c r="L139" s="352">
        <v>0</v>
      </c>
      <c r="M139" s="352">
        <v>0</v>
      </c>
      <c r="N139" s="355">
        <v>0</v>
      </c>
      <c r="O139" s="352">
        <f>+I139-(SUM(J139:N139))</f>
        <v>829897.2</v>
      </c>
    </row>
    <row r="140" spans="1:15" s="365" customFormat="1" ht="21.75" customHeight="1" thickBot="1" x14ac:dyDescent="0.45">
      <c r="A140" s="523" t="s">
        <v>1919</v>
      </c>
      <c r="B140" s="523"/>
      <c r="C140" s="523"/>
      <c r="D140" s="523"/>
      <c r="E140" s="523"/>
      <c r="F140" s="523"/>
      <c r="G140" s="523"/>
      <c r="H140" s="523"/>
      <c r="I140" s="364">
        <f t="shared" ref="I140:O140" si="21">SUM(I8+I16+I27+I52+I55+I76+I80+I84+I103+I120+I127+I135+I138)</f>
        <v>36613901.530000001</v>
      </c>
      <c r="J140" s="364">
        <f t="shared" si="21"/>
        <v>1210757.3999999999</v>
      </c>
      <c r="K140" s="364">
        <f t="shared" si="21"/>
        <v>1210757.3999999999</v>
      </c>
      <c r="L140" s="364">
        <f t="shared" si="21"/>
        <v>460823.76500000001</v>
      </c>
      <c r="M140" s="364">
        <f t="shared" si="21"/>
        <v>460823.755</v>
      </c>
      <c r="N140" s="364">
        <f t="shared" si="21"/>
        <v>0</v>
      </c>
      <c r="O140" s="364">
        <f t="shared" si="21"/>
        <v>33270739.210000001</v>
      </c>
    </row>
    <row r="141" spans="1:15" ht="19.5" thickTop="1" x14ac:dyDescent="0.4"/>
    <row r="145" spans="10:15" x14ac:dyDescent="0.4">
      <c r="J145" s="369"/>
      <c r="K145" s="369"/>
      <c r="L145" s="369"/>
      <c r="M145" s="369"/>
      <c r="N145" s="369"/>
      <c r="O145" s="369"/>
    </row>
    <row r="146" spans="10:15" x14ac:dyDescent="0.4">
      <c r="J146" s="369"/>
      <c r="K146" s="369"/>
      <c r="L146" s="369"/>
      <c r="M146" s="369"/>
      <c r="N146" s="369"/>
      <c r="O146" s="369"/>
    </row>
    <row r="166" spans="1:16" ht="21" x14ac:dyDescent="0.4">
      <c r="A166" s="531"/>
      <c r="B166" s="531"/>
      <c r="C166" s="531"/>
      <c r="D166" s="531"/>
      <c r="E166" s="531"/>
      <c r="F166" s="531"/>
      <c r="G166" s="531"/>
      <c r="H166" s="531"/>
      <c r="I166" s="531"/>
      <c r="J166" s="531"/>
      <c r="K166" s="531"/>
      <c r="L166" s="532"/>
      <c r="M166" s="532"/>
      <c r="N166" s="532"/>
      <c r="O166" s="532"/>
      <c r="P166" s="370"/>
    </row>
    <row r="167" spans="1:16" ht="21" x14ac:dyDescent="0.4">
      <c r="A167" s="531"/>
      <c r="B167" s="531"/>
      <c r="C167" s="531"/>
      <c r="D167" s="531"/>
      <c r="E167" s="531"/>
      <c r="F167" s="531"/>
      <c r="G167" s="531"/>
      <c r="H167" s="531"/>
      <c r="I167" s="531"/>
      <c r="J167" s="531"/>
      <c r="K167" s="531"/>
      <c r="L167" s="532"/>
      <c r="M167" s="532"/>
      <c r="N167" s="532"/>
      <c r="O167" s="532"/>
      <c r="P167" s="370"/>
    </row>
    <row r="168" spans="1:16" ht="21" x14ac:dyDescent="0.4">
      <c r="A168" s="531"/>
      <c r="B168" s="531"/>
      <c r="C168" s="531"/>
      <c r="D168" s="531"/>
      <c r="E168" s="531"/>
      <c r="F168" s="531"/>
      <c r="G168" s="531"/>
      <c r="H168" s="531"/>
      <c r="I168" s="531"/>
      <c r="J168" s="531"/>
      <c r="K168" s="531"/>
      <c r="L168" s="532"/>
      <c r="M168" s="532"/>
      <c r="N168" s="532"/>
      <c r="O168" s="532"/>
      <c r="P168" s="370"/>
    </row>
  </sheetData>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40:H140"/>
    <mergeCell ref="A166:D166"/>
    <mergeCell ref="E166:G166"/>
    <mergeCell ref="H166:K166"/>
    <mergeCell ref="J6:K6"/>
    <mergeCell ref="A168:D168"/>
    <mergeCell ref="E168:G168"/>
    <mergeCell ref="H168:K168"/>
    <mergeCell ref="L168:O168"/>
    <mergeCell ref="L166:O166"/>
    <mergeCell ref="A167:D167"/>
    <mergeCell ref="E167:G167"/>
    <mergeCell ref="H167:K167"/>
    <mergeCell ref="L167:O16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selection activeCell="L13" sqref="L13"/>
    </sheetView>
  </sheetViews>
  <sheetFormatPr defaultRowHeight="18.75" x14ac:dyDescent="0.4"/>
  <cols>
    <col min="1" max="1" width="4.375" style="366" customWidth="1"/>
    <col min="2" max="2" width="41.375" style="366" customWidth="1"/>
    <col min="3" max="3" width="12.625" style="369" customWidth="1"/>
    <col min="4" max="7" width="11.625" style="328" customWidth="1"/>
    <col min="8" max="8" width="9.625" style="328" customWidth="1"/>
    <col min="9" max="9" width="11.625" style="328" customWidth="1"/>
    <col min="10" max="16384" width="9" style="328"/>
  </cols>
  <sheetData>
    <row r="1" spans="1:10" ht="21" x14ac:dyDescent="0.45">
      <c r="A1" s="512" t="s">
        <v>1913</v>
      </c>
      <c r="B1" s="512"/>
      <c r="C1" s="512"/>
      <c r="D1" s="512"/>
      <c r="E1" s="512"/>
      <c r="F1" s="512"/>
      <c r="G1" s="512"/>
      <c r="H1" s="512"/>
      <c r="I1" s="512"/>
    </row>
    <row r="2" spans="1:10" ht="21" x14ac:dyDescent="0.45">
      <c r="A2" s="512" t="s">
        <v>2815</v>
      </c>
      <c r="B2" s="512"/>
      <c r="C2" s="512"/>
      <c r="D2" s="512"/>
      <c r="E2" s="512"/>
      <c r="F2" s="512"/>
      <c r="G2" s="512"/>
      <c r="H2" s="512"/>
      <c r="I2" s="512"/>
    </row>
    <row r="3" spans="1:10" ht="21" x14ac:dyDescent="0.45">
      <c r="A3" s="512" t="s">
        <v>2814</v>
      </c>
      <c r="B3" s="512"/>
      <c r="C3" s="512"/>
      <c r="D3" s="512"/>
      <c r="E3" s="512"/>
      <c r="F3" s="512"/>
      <c r="G3" s="512"/>
      <c r="H3" s="512"/>
      <c r="I3" s="512"/>
    </row>
    <row r="4" spans="1:10" s="332" customFormat="1" ht="8.1" customHeight="1" x14ac:dyDescent="0.4">
      <c r="A4" s="329"/>
      <c r="B4" s="329"/>
      <c r="C4" s="333"/>
    </row>
    <row r="5" spans="1:10" s="335" customFormat="1" ht="38.1" customHeight="1" x14ac:dyDescent="0.4">
      <c r="A5" s="551" t="s">
        <v>253</v>
      </c>
      <c r="B5" s="551" t="s">
        <v>1915</v>
      </c>
      <c r="C5" s="552" t="s">
        <v>263</v>
      </c>
      <c r="D5" s="554" t="s">
        <v>255</v>
      </c>
      <c r="E5" s="554"/>
      <c r="F5" s="554"/>
      <c r="G5" s="554"/>
      <c r="H5" s="554"/>
      <c r="I5" s="551" t="s">
        <v>256</v>
      </c>
      <c r="J5" s="334"/>
    </row>
    <row r="6" spans="1:10" s="336" customFormat="1" ht="57.95" customHeight="1" x14ac:dyDescent="0.2">
      <c r="A6" s="551"/>
      <c r="B6" s="551"/>
      <c r="C6" s="552"/>
      <c r="D6" s="553" t="s">
        <v>264</v>
      </c>
      <c r="E6" s="553"/>
      <c r="F6" s="553" t="s">
        <v>265</v>
      </c>
      <c r="G6" s="553"/>
      <c r="H6" s="553"/>
      <c r="I6" s="551"/>
    </row>
    <row r="7" spans="1:10" s="335" customFormat="1" ht="60" customHeight="1" x14ac:dyDescent="0.4">
      <c r="A7" s="551"/>
      <c r="B7" s="551"/>
      <c r="C7" s="552"/>
      <c r="D7" s="481" t="s">
        <v>266</v>
      </c>
      <c r="E7" s="481" t="s">
        <v>267</v>
      </c>
      <c r="F7" s="481" t="s">
        <v>266</v>
      </c>
      <c r="G7" s="481" t="s">
        <v>267</v>
      </c>
      <c r="H7" s="481" t="s">
        <v>2816</v>
      </c>
      <c r="I7" s="551"/>
      <c r="J7" s="334"/>
    </row>
    <row r="8" spans="1:10" s="345" customFormat="1" x14ac:dyDescent="0.4">
      <c r="A8" s="346">
        <v>1</v>
      </c>
      <c r="B8" s="349" t="s">
        <v>739</v>
      </c>
      <c r="C8" s="482">
        <v>1834750</v>
      </c>
      <c r="D8" s="482">
        <v>29127</v>
      </c>
      <c r="E8" s="482">
        <v>29127</v>
      </c>
      <c r="F8" s="482">
        <v>29331.25</v>
      </c>
      <c r="G8" s="482">
        <v>29331.25</v>
      </c>
      <c r="H8" s="482">
        <v>0</v>
      </c>
      <c r="I8" s="482">
        <v>1717833.5</v>
      </c>
      <c r="J8" s="344"/>
    </row>
    <row r="9" spans="1:10" s="479" customFormat="1" x14ac:dyDescent="0.4">
      <c r="A9" s="346">
        <v>2</v>
      </c>
      <c r="B9" s="349" t="s">
        <v>360</v>
      </c>
      <c r="C9" s="397">
        <v>247224.78000000003</v>
      </c>
      <c r="D9" s="397">
        <v>19777.989999999998</v>
      </c>
      <c r="E9" s="397">
        <v>19777.989999999998</v>
      </c>
      <c r="F9" s="397">
        <v>0</v>
      </c>
      <c r="G9" s="397">
        <v>0</v>
      </c>
      <c r="H9" s="397">
        <v>0</v>
      </c>
      <c r="I9" s="397">
        <v>207668.8</v>
      </c>
      <c r="J9" s="478"/>
    </row>
    <row r="10" spans="1:10" s="478" customFormat="1" x14ac:dyDescent="0.2">
      <c r="A10" s="346">
        <v>3</v>
      </c>
      <c r="B10" s="349" t="s">
        <v>161</v>
      </c>
      <c r="C10" s="397">
        <v>1791618</v>
      </c>
      <c r="D10" s="397">
        <v>79593.399999999994</v>
      </c>
      <c r="E10" s="397">
        <v>79593.399999999994</v>
      </c>
      <c r="F10" s="397">
        <v>23875</v>
      </c>
      <c r="G10" s="397">
        <v>23875</v>
      </c>
      <c r="H10" s="397">
        <v>0</v>
      </c>
      <c r="I10" s="397">
        <v>1584681.2</v>
      </c>
    </row>
    <row r="11" spans="1:10" s="478" customFormat="1" x14ac:dyDescent="0.2">
      <c r="A11" s="346">
        <v>4</v>
      </c>
      <c r="B11" s="349" t="s">
        <v>512</v>
      </c>
      <c r="C11" s="397">
        <v>947450</v>
      </c>
      <c r="D11" s="397">
        <v>37272.5</v>
      </c>
      <c r="E11" s="397">
        <v>37272.5</v>
      </c>
      <c r="F11" s="397">
        <v>0</v>
      </c>
      <c r="G11" s="397">
        <v>0</v>
      </c>
      <c r="H11" s="397">
        <v>0</v>
      </c>
      <c r="I11" s="397">
        <v>872905</v>
      </c>
    </row>
    <row r="12" spans="1:10" s="478" customFormat="1" x14ac:dyDescent="0.2">
      <c r="A12" s="346">
        <v>5</v>
      </c>
      <c r="B12" s="349" t="s">
        <v>22</v>
      </c>
      <c r="C12" s="397">
        <v>4515693.68</v>
      </c>
      <c r="D12" s="397">
        <v>53550.29</v>
      </c>
      <c r="E12" s="397">
        <v>53550.29</v>
      </c>
      <c r="F12" s="397">
        <v>153300</v>
      </c>
      <c r="G12" s="397">
        <v>153300</v>
      </c>
      <c r="H12" s="397">
        <v>0</v>
      </c>
      <c r="I12" s="397">
        <v>4101993.1</v>
      </c>
    </row>
    <row r="13" spans="1:10" s="478" customFormat="1" x14ac:dyDescent="0.2">
      <c r="A13" s="346">
        <v>6</v>
      </c>
      <c r="B13" s="349" t="s">
        <v>1229</v>
      </c>
      <c r="C13" s="397">
        <v>291000</v>
      </c>
      <c r="D13" s="397">
        <v>0</v>
      </c>
      <c r="E13" s="397">
        <v>0</v>
      </c>
      <c r="F13" s="397">
        <v>0</v>
      </c>
      <c r="G13" s="397">
        <v>0</v>
      </c>
      <c r="H13" s="397">
        <v>0</v>
      </c>
      <c r="I13" s="397">
        <v>291000</v>
      </c>
    </row>
    <row r="14" spans="1:10" s="478" customFormat="1" x14ac:dyDescent="0.2">
      <c r="A14" s="346">
        <v>7</v>
      </c>
      <c r="B14" s="349" t="s">
        <v>19</v>
      </c>
      <c r="C14" s="397">
        <v>3662847</v>
      </c>
      <c r="D14" s="397">
        <v>179771.6</v>
      </c>
      <c r="E14" s="397">
        <v>179771.6</v>
      </c>
      <c r="F14" s="397">
        <v>33707.5</v>
      </c>
      <c r="G14" s="397">
        <v>33707.5</v>
      </c>
      <c r="H14" s="397">
        <v>0</v>
      </c>
      <c r="I14" s="397">
        <v>3235888.8</v>
      </c>
    </row>
    <row r="15" spans="1:10" s="479" customFormat="1" x14ac:dyDescent="0.4">
      <c r="A15" s="346">
        <v>8</v>
      </c>
      <c r="B15" s="349" t="s">
        <v>1067</v>
      </c>
      <c r="C15" s="397">
        <v>5723880</v>
      </c>
      <c r="D15" s="397">
        <v>270989</v>
      </c>
      <c r="E15" s="397">
        <v>270989</v>
      </c>
      <c r="F15" s="397">
        <v>0</v>
      </c>
      <c r="G15" s="397">
        <v>0</v>
      </c>
      <c r="H15" s="397">
        <v>0</v>
      </c>
      <c r="I15" s="397">
        <v>5181902</v>
      </c>
      <c r="J15" s="478"/>
    </row>
    <row r="16" spans="1:10" s="478" customFormat="1" x14ac:dyDescent="0.2">
      <c r="A16" s="346">
        <v>9</v>
      </c>
      <c r="B16" s="349" t="s">
        <v>152</v>
      </c>
      <c r="C16" s="397">
        <v>8900000</v>
      </c>
      <c r="D16" s="397">
        <v>100000</v>
      </c>
      <c r="E16" s="397">
        <v>100000</v>
      </c>
      <c r="F16" s="397">
        <v>40000</v>
      </c>
      <c r="G16" s="397">
        <v>40000</v>
      </c>
      <c r="H16" s="397">
        <v>0</v>
      </c>
      <c r="I16" s="397">
        <v>8620000</v>
      </c>
    </row>
    <row r="17" spans="1:9" s="478" customFormat="1" x14ac:dyDescent="0.2">
      <c r="A17" s="346">
        <v>10</v>
      </c>
      <c r="B17" s="349" t="s">
        <v>923</v>
      </c>
      <c r="C17" s="397">
        <v>530115</v>
      </c>
      <c r="D17" s="397">
        <v>26505.75</v>
      </c>
      <c r="E17" s="397">
        <v>26505.75</v>
      </c>
      <c r="F17" s="397">
        <v>0</v>
      </c>
      <c r="G17" s="397">
        <v>0</v>
      </c>
      <c r="H17" s="397">
        <v>0</v>
      </c>
      <c r="I17" s="397">
        <v>477103.5</v>
      </c>
    </row>
    <row r="18" spans="1:9" s="478" customFormat="1" x14ac:dyDescent="0.2">
      <c r="A18" s="346">
        <v>11</v>
      </c>
      <c r="B18" s="349" t="s">
        <v>1133</v>
      </c>
      <c r="C18" s="397">
        <v>1504492</v>
      </c>
      <c r="D18" s="397">
        <v>75224.600000000006</v>
      </c>
      <c r="E18" s="397">
        <v>75224.600000000006</v>
      </c>
      <c r="F18" s="397">
        <v>0</v>
      </c>
      <c r="G18" s="397">
        <v>0</v>
      </c>
      <c r="H18" s="397">
        <v>0</v>
      </c>
      <c r="I18" s="397">
        <v>1354042.8</v>
      </c>
    </row>
    <row r="19" spans="1:9" s="385" customFormat="1" ht="21.75" thickBot="1" x14ac:dyDescent="0.5">
      <c r="A19" s="494" t="s">
        <v>1919</v>
      </c>
      <c r="B19" s="495"/>
      <c r="C19" s="480">
        <f>SUM(C8:C18)</f>
        <v>29949070.460000001</v>
      </c>
      <c r="D19" s="480">
        <f t="shared" ref="D19:I19" si="0">SUM(D8:D18)</f>
        <v>871812.13</v>
      </c>
      <c r="E19" s="480">
        <f t="shared" si="0"/>
        <v>871812.13</v>
      </c>
      <c r="F19" s="480">
        <f t="shared" si="0"/>
        <v>280213.75</v>
      </c>
      <c r="G19" s="480">
        <f t="shared" si="0"/>
        <v>280213.75</v>
      </c>
      <c r="H19" s="480">
        <f t="shared" si="0"/>
        <v>0</v>
      </c>
      <c r="I19" s="480">
        <f t="shared" si="0"/>
        <v>27645018.699999999</v>
      </c>
    </row>
    <row r="20" spans="1:9" ht="19.5" thickTop="1" x14ac:dyDescent="0.4"/>
    <row r="21" spans="1:9" x14ac:dyDescent="0.4">
      <c r="D21" s="369"/>
      <c r="E21" s="369"/>
      <c r="F21" s="369"/>
      <c r="G21" s="369"/>
      <c r="H21" s="369"/>
      <c r="I21" s="369"/>
    </row>
    <row r="23" spans="1:9" x14ac:dyDescent="0.4">
      <c r="D23" s="369"/>
      <c r="E23" s="369"/>
      <c r="F23" s="369"/>
      <c r="G23" s="369"/>
      <c r="H23" s="369"/>
      <c r="I23" s="369"/>
    </row>
    <row r="87" spans="1:10" ht="21" x14ac:dyDescent="0.4">
      <c r="A87" s="437" t="s">
        <v>517</v>
      </c>
      <c r="B87" s="437"/>
      <c r="C87" s="531"/>
      <c r="D87" s="531"/>
      <c r="E87" s="531"/>
      <c r="F87" s="532" t="s">
        <v>519</v>
      </c>
      <c r="G87" s="532"/>
      <c r="H87" s="532"/>
      <c r="I87" s="532"/>
      <c r="J87" s="370"/>
    </row>
    <row r="88" spans="1:10" ht="21" x14ac:dyDescent="0.4">
      <c r="A88" s="437" t="s">
        <v>785</v>
      </c>
      <c r="B88" s="437"/>
      <c r="C88" s="531"/>
      <c r="D88" s="531"/>
      <c r="E88" s="531"/>
      <c r="F88" s="532" t="s">
        <v>521</v>
      </c>
      <c r="G88" s="532"/>
      <c r="H88" s="532"/>
      <c r="I88" s="532"/>
      <c r="J88" s="370"/>
    </row>
    <row r="89" spans="1:10" ht="21" x14ac:dyDescent="0.4">
      <c r="A89" s="437" t="s">
        <v>787</v>
      </c>
      <c r="B89" s="437"/>
      <c r="C89" s="531"/>
      <c r="D89" s="531"/>
      <c r="E89" s="531"/>
      <c r="F89" s="532" t="s">
        <v>524</v>
      </c>
      <c r="G89" s="532"/>
      <c r="H89" s="532"/>
      <c r="I89" s="532"/>
      <c r="J89" s="370"/>
    </row>
  </sheetData>
  <mergeCells count="17">
    <mergeCell ref="A1:I1"/>
    <mergeCell ref="A2:I2"/>
    <mergeCell ref="A3:I3"/>
    <mergeCell ref="A5:A7"/>
    <mergeCell ref="D5:H5"/>
    <mergeCell ref="I5:I7"/>
    <mergeCell ref="C89:E89"/>
    <mergeCell ref="F89:I89"/>
    <mergeCell ref="B5:B7"/>
    <mergeCell ref="A19:B19"/>
    <mergeCell ref="C5:C7"/>
    <mergeCell ref="C87:E87"/>
    <mergeCell ref="F87:I87"/>
    <mergeCell ref="C88:E88"/>
    <mergeCell ref="F88:I88"/>
    <mergeCell ref="F6:H6"/>
    <mergeCell ref="D6:E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topLeftCell="A106" workbookViewId="0">
      <selection activeCell="F123" sqref="F123"/>
    </sheetView>
  </sheetViews>
  <sheetFormatPr defaultRowHeight="19.5" x14ac:dyDescent="0.45"/>
  <cols>
    <col min="1" max="1" width="4.625" style="245" customWidth="1"/>
    <col min="2" max="2" width="9.125" style="246" customWidth="1"/>
    <col min="3" max="3" width="10.625" style="245" customWidth="1"/>
    <col min="4" max="4" width="16.625" style="245" customWidth="1"/>
    <col min="5" max="5" width="22.625" style="247" customWidth="1"/>
    <col min="6" max="6" width="21.875" style="450" customWidth="1"/>
    <col min="7" max="7" width="17.125" style="450" customWidth="1"/>
    <col min="8" max="8" width="28.125" style="450" customWidth="1"/>
    <col min="9" max="9" width="12.625" style="248" customWidth="1"/>
    <col min="10" max="13" width="11.625" style="206" customWidth="1"/>
    <col min="14" max="14" width="9.625" style="206" customWidth="1"/>
    <col min="15" max="15" width="11.625" style="206" customWidth="1"/>
    <col min="16" max="16384" width="9" style="206"/>
  </cols>
  <sheetData>
    <row r="1" spans="1:16" ht="21" x14ac:dyDescent="0.45">
      <c r="A1" s="560" t="s">
        <v>1913</v>
      </c>
      <c r="B1" s="560"/>
      <c r="C1" s="560"/>
      <c r="D1" s="560"/>
      <c r="E1" s="560"/>
      <c r="F1" s="560"/>
      <c r="G1" s="560"/>
      <c r="H1" s="560"/>
      <c r="I1" s="560"/>
      <c r="J1" s="560"/>
      <c r="K1" s="560"/>
      <c r="L1" s="560"/>
      <c r="M1" s="560"/>
      <c r="N1" s="560"/>
      <c r="O1" s="560"/>
    </row>
    <row r="2" spans="1:16" ht="21" x14ac:dyDescent="0.45">
      <c r="A2" s="560" t="s">
        <v>1920</v>
      </c>
      <c r="B2" s="560"/>
      <c r="C2" s="560"/>
      <c r="D2" s="560"/>
      <c r="E2" s="560"/>
      <c r="F2" s="560"/>
      <c r="G2" s="560"/>
      <c r="H2" s="560"/>
      <c r="I2" s="560"/>
      <c r="J2" s="560"/>
      <c r="K2" s="560"/>
      <c r="L2" s="560"/>
      <c r="M2" s="560"/>
      <c r="N2" s="560"/>
      <c r="O2" s="560"/>
    </row>
    <row r="3" spans="1:16" ht="21" x14ac:dyDescent="0.45">
      <c r="A3" s="560" t="s">
        <v>2814</v>
      </c>
      <c r="B3" s="560"/>
      <c r="C3" s="560"/>
      <c r="D3" s="560"/>
      <c r="E3" s="560"/>
      <c r="F3" s="560"/>
      <c r="G3" s="560"/>
      <c r="H3" s="560"/>
      <c r="I3" s="560"/>
      <c r="J3" s="560"/>
      <c r="K3" s="560"/>
      <c r="L3" s="560"/>
      <c r="M3" s="560"/>
      <c r="N3" s="560"/>
      <c r="O3" s="560"/>
    </row>
    <row r="4" spans="1:16" s="210" customFormat="1" ht="8.1" customHeight="1" thickBot="1" x14ac:dyDescent="0.5">
      <c r="A4" s="207"/>
      <c r="B4" s="208"/>
      <c r="C4" s="245"/>
      <c r="D4" s="245"/>
      <c r="E4" s="247"/>
      <c r="F4" s="450"/>
      <c r="G4" s="450"/>
      <c r="H4" s="450"/>
      <c r="I4" s="211"/>
    </row>
    <row r="5" spans="1:16" s="213" customFormat="1" ht="38.1" customHeight="1" x14ac:dyDescent="0.4">
      <c r="A5" s="561" t="s">
        <v>253</v>
      </c>
      <c r="B5" s="563" t="s">
        <v>254</v>
      </c>
      <c r="C5" s="564"/>
      <c r="D5" s="564"/>
      <c r="E5" s="564"/>
      <c r="F5" s="564"/>
      <c r="G5" s="564"/>
      <c r="H5" s="564"/>
      <c r="I5" s="565"/>
      <c r="J5" s="566" t="s">
        <v>255</v>
      </c>
      <c r="K5" s="567"/>
      <c r="L5" s="567"/>
      <c r="M5" s="567"/>
      <c r="N5" s="568"/>
      <c r="O5" s="569" t="s">
        <v>256</v>
      </c>
      <c r="P5" s="212"/>
    </row>
    <row r="6" spans="1:16" s="214" customFormat="1" ht="57.95" customHeight="1" x14ac:dyDescent="0.2">
      <c r="A6" s="562"/>
      <c r="B6" s="571" t="s">
        <v>257</v>
      </c>
      <c r="C6" s="573" t="s">
        <v>2</v>
      </c>
      <c r="D6" s="573" t="s">
        <v>258</v>
      </c>
      <c r="E6" s="574" t="s">
        <v>259</v>
      </c>
      <c r="F6" s="573" t="s">
        <v>260</v>
      </c>
      <c r="G6" s="573" t="s">
        <v>261</v>
      </c>
      <c r="H6" s="573" t="s">
        <v>262</v>
      </c>
      <c r="I6" s="577" t="s">
        <v>263</v>
      </c>
      <c r="J6" s="557" t="s">
        <v>264</v>
      </c>
      <c r="K6" s="558"/>
      <c r="L6" s="557" t="s">
        <v>265</v>
      </c>
      <c r="M6" s="558"/>
      <c r="N6" s="575"/>
      <c r="O6" s="570"/>
    </row>
    <row r="7" spans="1:16" s="213" customFormat="1" ht="60" customHeight="1" x14ac:dyDescent="0.4">
      <c r="A7" s="562"/>
      <c r="B7" s="572"/>
      <c r="C7" s="574"/>
      <c r="D7" s="574"/>
      <c r="E7" s="576"/>
      <c r="F7" s="574"/>
      <c r="G7" s="574"/>
      <c r="H7" s="574"/>
      <c r="I7" s="578"/>
      <c r="J7" s="464" t="s">
        <v>266</v>
      </c>
      <c r="K7" s="464" t="s">
        <v>267</v>
      </c>
      <c r="L7" s="464" t="s">
        <v>266</v>
      </c>
      <c r="M7" s="464" t="s">
        <v>267</v>
      </c>
      <c r="N7" s="464" t="s">
        <v>894</v>
      </c>
      <c r="O7" s="570"/>
      <c r="P7" s="212"/>
    </row>
    <row r="8" spans="1:16" s="463" customFormat="1" ht="18.75" x14ac:dyDescent="0.4">
      <c r="A8" s="465" t="s">
        <v>739</v>
      </c>
      <c r="B8" s="473"/>
      <c r="C8" s="474"/>
      <c r="D8" s="474"/>
      <c r="E8" s="474"/>
      <c r="F8" s="474"/>
      <c r="G8" s="474"/>
      <c r="H8" s="474"/>
      <c r="I8" s="475">
        <f>SUM(I9:I14)</f>
        <v>1834750</v>
      </c>
      <c r="J8" s="475">
        <f t="shared" ref="J8:O8" si="0">SUM(J9:J14)</f>
        <v>29127</v>
      </c>
      <c r="K8" s="475">
        <f t="shared" si="0"/>
        <v>29127</v>
      </c>
      <c r="L8" s="475">
        <f t="shared" si="0"/>
        <v>29331.25</v>
      </c>
      <c r="M8" s="475">
        <f t="shared" si="0"/>
        <v>29331.25</v>
      </c>
      <c r="N8" s="475">
        <f t="shared" si="0"/>
        <v>0</v>
      </c>
      <c r="O8" s="475">
        <f t="shared" si="0"/>
        <v>1717833.5</v>
      </c>
      <c r="P8" s="462"/>
    </row>
    <row r="9" spans="1:16" ht="24" customHeight="1" x14ac:dyDescent="0.45">
      <c r="A9" s="452">
        <v>10</v>
      </c>
      <c r="B9" s="453" t="s">
        <v>1164</v>
      </c>
      <c r="C9" s="454" t="s">
        <v>1171</v>
      </c>
      <c r="D9" s="454" t="s">
        <v>1172</v>
      </c>
      <c r="E9" s="455" t="s">
        <v>1173</v>
      </c>
      <c r="F9" s="455" t="s">
        <v>739</v>
      </c>
      <c r="G9" s="455" t="s">
        <v>1162</v>
      </c>
      <c r="H9" s="456" t="s">
        <v>1174</v>
      </c>
      <c r="I9" s="451">
        <v>247000</v>
      </c>
      <c r="J9" s="451"/>
      <c r="K9" s="451"/>
      <c r="L9" s="451">
        <v>12350</v>
      </c>
      <c r="M9" s="451">
        <v>12350</v>
      </c>
      <c r="N9" s="451"/>
      <c r="O9" s="451">
        <f t="shared" ref="O9:O14" si="1">+I9-(SUM(J9:N9))</f>
        <v>222300</v>
      </c>
      <c r="P9" s="228"/>
    </row>
    <row r="10" spans="1:16" s="228" customFormat="1" ht="24" customHeight="1" x14ac:dyDescent="0.2">
      <c r="A10" s="452">
        <v>13</v>
      </c>
      <c r="B10" s="453" t="s">
        <v>1182</v>
      </c>
      <c r="C10" s="454" t="s">
        <v>1183</v>
      </c>
      <c r="D10" s="454" t="s">
        <v>1184</v>
      </c>
      <c r="E10" s="455" t="s">
        <v>1185</v>
      </c>
      <c r="F10" s="455" t="s">
        <v>1186</v>
      </c>
      <c r="G10" s="455" t="s">
        <v>1187</v>
      </c>
      <c r="H10" s="456" t="s">
        <v>1188</v>
      </c>
      <c r="I10" s="451">
        <v>430625</v>
      </c>
      <c r="J10" s="451">
        <v>0</v>
      </c>
      <c r="K10" s="451">
        <v>0</v>
      </c>
      <c r="L10" s="451">
        <v>0</v>
      </c>
      <c r="M10" s="451">
        <v>0</v>
      </c>
      <c r="N10" s="476" t="s">
        <v>1189</v>
      </c>
      <c r="O10" s="451">
        <f t="shared" si="1"/>
        <v>430625</v>
      </c>
    </row>
    <row r="11" spans="1:16" s="228" customFormat="1" ht="24" customHeight="1" x14ac:dyDescent="0.2">
      <c r="A11" s="452">
        <v>20</v>
      </c>
      <c r="B11" s="453" t="s">
        <v>1211</v>
      </c>
      <c r="C11" s="454" t="s">
        <v>1212</v>
      </c>
      <c r="D11" s="454" t="s">
        <v>1213</v>
      </c>
      <c r="E11" s="455" t="s">
        <v>1185</v>
      </c>
      <c r="F11" s="455" t="s">
        <v>739</v>
      </c>
      <c r="G11" s="455" t="s">
        <v>1214</v>
      </c>
      <c r="H11" s="456" t="s">
        <v>1215</v>
      </c>
      <c r="I11" s="451">
        <v>58254</v>
      </c>
      <c r="J11" s="451">
        <v>29127</v>
      </c>
      <c r="K11" s="451">
        <v>29127</v>
      </c>
      <c r="L11" s="451">
        <v>0</v>
      </c>
      <c r="M11" s="451">
        <v>0</v>
      </c>
      <c r="N11" s="451">
        <v>0</v>
      </c>
      <c r="O11" s="451">
        <f t="shared" si="1"/>
        <v>0</v>
      </c>
    </row>
    <row r="12" spans="1:16" s="228" customFormat="1" ht="24" customHeight="1" x14ac:dyDescent="0.2">
      <c r="A12" s="452">
        <v>28</v>
      </c>
      <c r="B12" s="453" t="s">
        <v>1237</v>
      </c>
      <c r="C12" s="454" t="s">
        <v>1241</v>
      </c>
      <c r="D12" s="454" t="s">
        <v>1242</v>
      </c>
      <c r="E12" s="455" t="s">
        <v>1173</v>
      </c>
      <c r="F12" s="455" t="s">
        <v>739</v>
      </c>
      <c r="G12" s="455" t="s">
        <v>1162</v>
      </c>
      <c r="H12" s="456" t="s">
        <v>1243</v>
      </c>
      <c r="I12" s="451">
        <v>339625</v>
      </c>
      <c r="J12" s="451">
        <v>0</v>
      </c>
      <c r="K12" s="451">
        <v>0</v>
      </c>
      <c r="L12" s="451">
        <v>16981.25</v>
      </c>
      <c r="M12" s="451">
        <v>16981.25</v>
      </c>
      <c r="N12" s="451">
        <v>0</v>
      </c>
      <c r="O12" s="451">
        <f t="shared" si="1"/>
        <v>305662.5</v>
      </c>
    </row>
    <row r="13" spans="1:16" s="228" customFormat="1" ht="24" customHeight="1" x14ac:dyDescent="0.2">
      <c r="A13" s="452">
        <v>29</v>
      </c>
      <c r="B13" s="453" t="s">
        <v>1244</v>
      </c>
      <c r="C13" s="454" t="s">
        <v>1245</v>
      </c>
      <c r="D13" s="454" t="s">
        <v>1246</v>
      </c>
      <c r="E13" s="455" t="s">
        <v>1185</v>
      </c>
      <c r="F13" s="455" t="s">
        <v>739</v>
      </c>
      <c r="G13" s="455" t="s">
        <v>1187</v>
      </c>
      <c r="H13" s="456" t="s">
        <v>1247</v>
      </c>
      <c r="I13" s="451">
        <v>204300</v>
      </c>
      <c r="J13" s="451">
        <v>0</v>
      </c>
      <c r="K13" s="451">
        <v>0</v>
      </c>
      <c r="L13" s="451">
        <v>0</v>
      </c>
      <c r="M13" s="451">
        <v>0</v>
      </c>
      <c r="N13" s="457" t="s">
        <v>1248</v>
      </c>
      <c r="O13" s="451">
        <f t="shared" si="1"/>
        <v>204300</v>
      </c>
    </row>
    <row r="14" spans="1:16" ht="24" customHeight="1" x14ac:dyDescent="0.45">
      <c r="A14" s="452">
        <v>40</v>
      </c>
      <c r="B14" s="453">
        <v>242796</v>
      </c>
      <c r="C14" s="458" t="s">
        <v>932</v>
      </c>
      <c r="D14" s="454" t="s">
        <v>933</v>
      </c>
      <c r="E14" s="455" t="s">
        <v>1185</v>
      </c>
      <c r="F14" s="455" t="s">
        <v>739</v>
      </c>
      <c r="G14" s="455" t="s">
        <v>1214</v>
      </c>
      <c r="H14" s="459" t="s">
        <v>1282</v>
      </c>
      <c r="I14" s="451">
        <v>554946</v>
      </c>
      <c r="J14" s="451">
        <v>0</v>
      </c>
      <c r="K14" s="451">
        <v>0</v>
      </c>
      <c r="L14" s="451">
        <v>0</v>
      </c>
      <c r="M14" s="451">
        <v>0</v>
      </c>
      <c r="N14" s="451">
        <v>0</v>
      </c>
      <c r="O14" s="451">
        <f t="shared" si="1"/>
        <v>554946</v>
      </c>
      <c r="P14" s="228"/>
    </row>
    <row r="15" spans="1:16" ht="24" customHeight="1" x14ac:dyDescent="0.45">
      <c r="A15" s="465" t="s">
        <v>360</v>
      </c>
      <c r="B15" s="466"/>
      <c r="C15" s="467"/>
      <c r="D15" s="468"/>
      <c r="E15" s="465"/>
      <c r="F15" s="465"/>
      <c r="G15" s="465"/>
      <c r="H15" s="471"/>
      <c r="I15" s="470">
        <f>SUM(I16:I17)</f>
        <v>247224.78000000003</v>
      </c>
      <c r="J15" s="470">
        <f t="shared" ref="J15:O15" si="2">SUM(J16:J17)</f>
        <v>19777.989999999998</v>
      </c>
      <c r="K15" s="470">
        <f t="shared" si="2"/>
        <v>19777.989999999998</v>
      </c>
      <c r="L15" s="470">
        <f t="shared" si="2"/>
        <v>0</v>
      </c>
      <c r="M15" s="470">
        <f t="shared" si="2"/>
        <v>0</v>
      </c>
      <c r="N15" s="470">
        <f t="shared" si="2"/>
        <v>0</v>
      </c>
      <c r="O15" s="470">
        <f t="shared" si="2"/>
        <v>207668.8</v>
      </c>
      <c r="P15" s="228"/>
    </row>
    <row r="16" spans="1:16" s="228" customFormat="1" ht="24" customHeight="1" x14ac:dyDescent="0.2">
      <c r="A16" s="452">
        <v>48</v>
      </c>
      <c r="B16" s="453" t="s">
        <v>1097</v>
      </c>
      <c r="C16" s="460" t="s">
        <v>1109</v>
      </c>
      <c r="D16" s="454" t="s">
        <v>1114</v>
      </c>
      <c r="E16" s="455" t="s">
        <v>1115</v>
      </c>
      <c r="F16" s="455" t="s">
        <v>360</v>
      </c>
      <c r="G16" s="455" t="s">
        <v>1116</v>
      </c>
      <c r="H16" s="456" t="s">
        <v>1117</v>
      </c>
      <c r="I16" s="451">
        <v>149833.20000000001</v>
      </c>
      <c r="J16" s="451">
        <v>11986.66</v>
      </c>
      <c r="K16" s="451">
        <v>11986.66</v>
      </c>
      <c r="L16" s="451">
        <v>0</v>
      </c>
      <c r="M16" s="451">
        <v>0</v>
      </c>
      <c r="N16" s="451">
        <v>0</v>
      </c>
      <c r="O16" s="451">
        <f>+I16-(SUM(J16:N16))</f>
        <v>125859.88</v>
      </c>
    </row>
    <row r="17" spans="1:15" s="228" customFormat="1" ht="24" customHeight="1" x14ac:dyDescent="0.2">
      <c r="A17" s="452">
        <v>49</v>
      </c>
      <c r="B17" s="453" t="s">
        <v>1097</v>
      </c>
      <c r="C17" s="460" t="s">
        <v>1109</v>
      </c>
      <c r="D17" s="454" t="s">
        <v>1118</v>
      </c>
      <c r="E17" s="455" t="s">
        <v>1115</v>
      </c>
      <c r="F17" s="455" t="s">
        <v>360</v>
      </c>
      <c r="G17" s="455" t="s">
        <v>1116</v>
      </c>
      <c r="H17" s="456" t="s">
        <v>1119</v>
      </c>
      <c r="I17" s="451">
        <v>97391.58</v>
      </c>
      <c r="J17" s="451">
        <v>7791.33</v>
      </c>
      <c r="K17" s="451">
        <v>7791.33</v>
      </c>
      <c r="L17" s="451">
        <v>0</v>
      </c>
      <c r="M17" s="451">
        <v>0</v>
      </c>
      <c r="N17" s="451">
        <v>0</v>
      </c>
      <c r="O17" s="451">
        <f>+I17-(SUM(J17:N17))</f>
        <v>81808.92</v>
      </c>
    </row>
    <row r="18" spans="1:15" s="228" customFormat="1" ht="24" customHeight="1" x14ac:dyDescent="0.2">
      <c r="A18" s="465" t="s">
        <v>161</v>
      </c>
      <c r="B18" s="466"/>
      <c r="C18" s="472"/>
      <c r="D18" s="468"/>
      <c r="E18" s="465"/>
      <c r="F18" s="465"/>
      <c r="G18" s="465"/>
      <c r="H18" s="469"/>
      <c r="I18" s="470">
        <f>SUM(I19:I26)</f>
        <v>1791618</v>
      </c>
      <c r="J18" s="470">
        <f t="shared" ref="J18:O18" si="3">SUM(J19:J26)</f>
        <v>79593.399999999994</v>
      </c>
      <c r="K18" s="470">
        <f t="shared" si="3"/>
        <v>79593.399999999994</v>
      </c>
      <c r="L18" s="470">
        <f t="shared" si="3"/>
        <v>23875</v>
      </c>
      <c r="M18" s="470">
        <f t="shared" si="3"/>
        <v>23875</v>
      </c>
      <c r="N18" s="470">
        <f t="shared" si="3"/>
        <v>0</v>
      </c>
      <c r="O18" s="470">
        <f t="shared" si="3"/>
        <v>1584681.2</v>
      </c>
    </row>
    <row r="19" spans="1:15" s="228" customFormat="1" ht="24" customHeight="1" x14ac:dyDescent="0.2">
      <c r="A19" s="452">
        <v>8</v>
      </c>
      <c r="B19" s="453" t="s">
        <v>954</v>
      </c>
      <c r="C19" s="454" t="s">
        <v>955</v>
      </c>
      <c r="D19" s="454" t="s">
        <v>956</v>
      </c>
      <c r="E19" s="455" t="s">
        <v>957</v>
      </c>
      <c r="F19" s="455" t="s">
        <v>161</v>
      </c>
      <c r="G19" s="455" t="s">
        <v>958</v>
      </c>
      <c r="H19" s="456" t="s">
        <v>959</v>
      </c>
      <c r="I19" s="451">
        <v>152000</v>
      </c>
      <c r="J19" s="451">
        <v>0</v>
      </c>
      <c r="K19" s="451">
        <v>0</v>
      </c>
      <c r="L19" s="451">
        <v>0</v>
      </c>
      <c r="M19" s="451">
        <v>0</v>
      </c>
      <c r="N19" s="461" t="s">
        <v>311</v>
      </c>
      <c r="O19" s="451">
        <f t="shared" ref="O19:O26" si="4">+I19-(SUM(J19:N19))</f>
        <v>152000</v>
      </c>
    </row>
    <row r="20" spans="1:15" s="228" customFormat="1" ht="24" customHeight="1" x14ac:dyDescent="0.2">
      <c r="A20" s="452">
        <v>10</v>
      </c>
      <c r="B20" s="453" t="s">
        <v>966</v>
      </c>
      <c r="C20" s="454" t="s">
        <v>967</v>
      </c>
      <c r="D20" s="454" t="s">
        <v>968</v>
      </c>
      <c r="E20" s="455" t="s">
        <v>969</v>
      </c>
      <c r="F20" s="455" t="s">
        <v>161</v>
      </c>
      <c r="G20" s="455" t="s">
        <v>970</v>
      </c>
      <c r="H20" s="456" t="s">
        <v>971</v>
      </c>
      <c r="I20" s="451">
        <v>79092</v>
      </c>
      <c r="J20" s="451">
        <v>3954.6</v>
      </c>
      <c r="K20" s="451">
        <v>3954.6</v>
      </c>
      <c r="L20" s="451">
        <v>0</v>
      </c>
      <c r="M20" s="451">
        <v>0</v>
      </c>
      <c r="N20" s="451">
        <v>0</v>
      </c>
      <c r="O20" s="451">
        <f t="shared" si="4"/>
        <v>71182.8</v>
      </c>
    </row>
    <row r="21" spans="1:15" s="228" customFormat="1" ht="24" customHeight="1" x14ac:dyDescent="0.2">
      <c r="A21" s="452">
        <v>25</v>
      </c>
      <c r="B21" s="453" t="s">
        <v>1015</v>
      </c>
      <c r="C21" s="454" t="s">
        <v>1016</v>
      </c>
      <c r="D21" s="454" t="s">
        <v>1017</v>
      </c>
      <c r="E21" s="455" t="s">
        <v>1018</v>
      </c>
      <c r="F21" s="455" t="s">
        <v>161</v>
      </c>
      <c r="G21" s="455" t="s">
        <v>1019</v>
      </c>
      <c r="H21" s="456" t="s">
        <v>1020</v>
      </c>
      <c r="I21" s="451">
        <v>88440</v>
      </c>
      <c r="J21" s="451">
        <v>4422</v>
      </c>
      <c r="K21" s="451">
        <v>4422</v>
      </c>
      <c r="L21" s="451">
        <v>0</v>
      </c>
      <c r="M21" s="451">
        <v>0</v>
      </c>
      <c r="N21" s="451">
        <v>0</v>
      </c>
      <c r="O21" s="451">
        <f t="shared" si="4"/>
        <v>79596</v>
      </c>
    </row>
    <row r="22" spans="1:15" s="228" customFormat="1" ht="24" customHeight="1" x14ac:dyDescent="0.2">
      <c r="A22" s="452">
        <v>29</v>
      </c>
      <c r="B22" s="453" t="s">
        <v>1036</v>
      </c>
      <c r="C22" s="454" t="s">
        <v>1037</v>
      </c>
      <c r="D22" s="454" t="s">
        <v>1038</v>
      </c>
      <c r="E22" s="455" t="s">
        <v>969</v>
      </c>
      <c r="F22" s="455" t="s">
        <v>161</v>
      </c>
      <c r="G22" s="455" t="s">
        <v>1039</v>
      </c>
      <c r="H22" s="456" t="s">
        <v>1040</v>
      </c>
      <c r="I22" s="451">
        <f>37568.7+1977.3</f>
        <v>39546</v>
      </c>
      <c r="J22" s="451">
        <v>1977.3000000000002</v>
      </c>
      <c r="K22" s="451">
        <v>1977.3000000000002</v>
      </c>
      <c r="L22" s="451">
        <v>0</v>
      </c>
      <c r="M22" s="451">
        <v>0</v>
      </c>
      <c r="N22" s="451">
        <v>0</v>
      </c>
      <c r="O22" s="451">
        <f t="shared" si="4"/>
        <v>35591.4</v>
      </c>
    </row>
    <row r="23" spans="1:15" s="228" customFormat="1" ht="24" customHeight="1" x14ac:dyDescent="0.2">
      <c r="A23" s="452">
        <v>31</v>
      </c>
      <c r="B23" s="453" t="s">
        <v>1047</v>
      </c>
      <c r="C23" s="454" t="s">
        <v>1048</v>
      </c>
      <c r="D23" s="454" t="s">
        <v>1049</v>
      </c>
      <c r="E23" s="455" t="s">
        <v>1018</v>
      </c>
      <c r="F23" s="455" t="s">
        <v>161</v>
      </c>
      <c r="G23" s="455" t="s">
        <v>1050</v>
      </c>
      <c r="H23" s="456" t="s">
        <v>1051</v>
      </c>
      <c r="I23" s="451">
        <v>78540</v>
      </c>
      <c r="J23" s="451">
        <v>3927</v>
      </c>
      <c r="K23" s="451">
        <v>3927</v>
      </c>
      <c r="L23" s="451">
        <v>0</v>
      </c>
      <c r="M23" s="451">
        <v>0</v>
      </c>
      <c r="N23" s="451">
        <v>0</v>
      </c>
      <c r="O23" s="451">
        <f t="shared" si="4"/>
        <v>70686</v>
      </c>
    </row>
    <row r="24" spans="1:15" s="228" customFormat="1" ht="24" customHeight="1" x14ac:dyDescent="0.2">
      <c r="A24" s="452">
        <v>32</v>
      </c>
      <c r="B24" s="453" t="s">
        <v>1052</v>
      </c>
      <c r="C24" s="454" t="s">
        <v>1053</v>
      </c>
      <c r="D24" s="454" t="s">
        <v>1054</v>
      </c>
      <c r="E24" s="455" t="s">
        <v>1018</v>
      </c>
      <c r="F24" s="455" t="s">
        <v>161</v>
      </c>
      <c r="G24" s="455" t="s">
        <v>1055</v>
      </c>
      <c r="H24" s="456" t="s">
        <v>1056</v>
      </c>
      <c r="I24" s="451">
        <v>96250</v>
      </c>
      <c r="J24" s="451">
        <v>4812.5</v>
      </c>
      <c r="K24" s="451">
        <v>4812.5</v>
      </c>
      <c r="L24" s="451">
        <v>0</v>
      </c>
      <c r="M24" s="451">
        <v>0</v>
      </c>
      <c r="N24" s="451">
        <v>0</v>
      </c>
      <c r="O24" s="451">
        <f t="shared" si="4"/>
        <v>86625</v>
      </c>
    </row>
    <row r="25" spans="1:15" s="228" customFormat="1" ht="24" customHeight="1" x14ac:dyDescent="0.2">
      <c r="A25" s="452">
        <v>39</v>
      </c>
      <c r="B25" s="453" t="s">
        <v>1081</v>
      </c>
      <c r="C25" s="454" t="s">
        <v>1085</v>
      </c>
      <c r="D25" s="454" t="s">
        <v>1086</v>
      </c>
      <c r="E25" s="455" t="s">
        <v>1087</v>
      </c>
      <c r="F25" s="455" t="s">
        <v>161</v>
      </c>
      <c r="G25" s="455" t="s">
        <v>1088</v>
      </c>
      <c r="H25" s="456" t="s">
        <v>1089</v>
      </c>
      <c r="I25" s="451">
        <v>1210000</v>
      </c>
      <c r="J25" s="451">
        <v>60500</v>
      </c>
      <c r="K25" s="451">
        <v>60500</v>
      </c>
      <c r="L25" s="451">
        <v>0</v>
      </c>
      <c r="M25" s="451">
        <v>0</v>
      </c>
      <c r="N25" s="451">
        <v>0</v>
      </c>
      <c r="O25" s="451">
        <f t="shared" si="4"/>
        <v>1089000</v>
      </c>
    </row>
    <row r="26" spans="1:15" s="228" customFormat="1" ht="24" customHeight="1" x14ac:dyDescent="0.2">
      <c r="A26" s="452">
        <v>44</v>
      </c>
      <c r="B26" s="453" t="s">
        <v>1097</v>
      </c>
      <c r="C26" s="454" t="s">
        <v>1101</v>
      </c>
      <c r="D26" s="454" t="s">
        <v>1102</v>
      </c>
      <c r="E26" s="455" t="s">
        <v>628</v>
      </c>
      <c r="F26" s="455" t="s">
        <v>161</v>
      </c>
      <c r="G26" s="455" t="s">
        <v>1103</v>
      </c>
      <c r="H26" s="456" t="s">
        <v>1104</v>
      </c>
      <c r="I26" s="451">
        <v>47750</v>
      </c>
      <c r="J26" s="451">
        <v>0</v>
      </c>
      <c r="K26" s="451">
        <v>0</v>
      </c>
      <c r="L26" s="451">
        <v>23875</v>
      </c>
      <c r="M26" s="451">
        <v>23875</v>
      </c>
      <c r="N26" s="451">
        <v>0</v>
      </c>
      <c r="O26" s="451">
        <f t="shared" si="4"/>
        <v>0</v>
      </c>
    </row>
    <row r="27" spans="1:15" s="228" customFormat="1" ht="24" customHeight="1" x14ac:dyDescent="0.2">
      <c r="A27" s="465" t="s">
        <v>512</v>
      </c>
      <c r="B27" s="466"/>
      <c r="C27" s="468"/>
      <c r="D27" s="468"/>
      <c r="E27" s="465"/>
      <c r="F27" s="465"/>
      <c r="G27" s="465"/>
      <c r="H27" s="469"/>
      <c r="I27" s="470">
        <f>SUM(I28:I35)</f>
        <v>947450</v>
      </c>
      <c r="J27" s="470">
        <f t="shared" ref="J27:O27" si="5">SUM(J28:J35)</f>
        <v>37272.5</v>
      </c>
      <c r="K27" s="470">
        <f t="shared" si="5"/>
        <v>37272.5</v>
      </c>
      <c r="L27" s="470">
        <f t="shared" si="5"/>
        <v>0</v>
      </c>
      <c r="M27" s="470">
        <f t="shared" si="5"/>
        <v>0</v>
      </c>
      <c r="N27" s="470">
        <f t="shared" si="5"/>
        <v>0</v>
      </c>
      <c r="O27" s="470">
        <f t="shared" si="5"/>
        <v>872905</v>
      </c>
    </row>
    <row r="28" spans="1:15" s="228" customFormat="1" ht="24" customHeight="1" x14ac:dyDescent="0.2">
      <c r="A28" s="452">
        <v>3</v>
      </c>
      <c r="B28" s="453" t="s">
        <v>1136</v>
      </c>
      <c r="C28" s="454" t="s">
        <v>1137</v>
      </c>
      <c r="D28" s="454" t="s">
        <v>1138</v>
      </c>
      <c r="E28" s="455" t="s">
        <v>1139</v>
      </c>
      <c r="F28" s="455" t="s">
        <v>512</v>
      </c>
      <c r="G28" s="455" t="s">
        <v>1134</v>
      </c>
      <c r="H28" s="456" t="s">
        <v>1140</v>
      </c>
      <c r="I28" s="451">
        <v>8800</v>
      </c>
      <c r="J28" s="451">
        <v>4400</v>
      </c>
      <c r="K28" s="451">
        <v>4400</v>
      </c>
      <c r="L28" s="451">
        <v>0</v>
      </c>
      <c r="M28" s="451">
        <v>0</v>
      </c>
      <c r="N28" s="451"/>
      <c r="O28" s="451">
        <f t="shared" ref="O28:O35" si="6">+I28-(SUM(J28:N28))</f>
        <v>0</v>
      </c>
    </row>
    <row r="29" spans="1:15" s="228" customFormat="1" ht="24" customHeight="1" x14ac:dyDescent="0.2">
      <c r="A29" s="452">
        <v>15</v>
      </c>
      <c r="B29" s="453" t="s">
        <v>1194</v>
      </c>
      <c r="C29" s="454" t="s">
        <v>1195</v>
      </c>
      <c r="D29" s="454" t="s">
        <v>1196</v>
      </c>
      <c r="E29" s="455" t="s">
        <v>1197</v>
      </c>
      <c r="F29" s="455" t="s">
        <v>512</v>
      </c>
      <c r="G29" s="455" t="s">
        <v>1198</v>
      </c>
      <c r="H29" s="456" t="s">
        <v>1199</v>
      </c>
      <c r="I29" s="451">
        <v>191235</v>
      </c>
      <c r="J29" s="451">
        <v>9561.75</v>
      </c>
      <c r="K29" s="451">
        <v>9561.75</v>
      </c>
      <c r="L29" s="451">
        <v>0</v>
      </c>
      <c r="M29" s="451">
        <v>0</v>
      </c>
      <c r="N29" s="451">
        <v>0</v>
      </c>
      <c r="O29" s="451">
        <f t="shared" si="6"/>
        <v>172111.5</v>
      </c>
    </row>
    <row r="30" spans="1:15" s="228" customFormat="1" ht="24" customHeight="1" x14ac:dyDescent="0.2">
      <c r="A30" s="452">
        <v>21</v>
      </c>
      <c r="B30" s="453" t="s">
        <v>1060</v>
      </c>
      <c r="C30" s="454" t="s">
        <v>1216</v>
      </c>
      <c r="D30" s="454" t="s">
        <v>1217</v>
      </c>
      <c r="E30" s="455" t="s">
        <v>1197</v>
      </c>
      <c r="F30" s="455" t="s">
        <v>512</v>
      </c>
      <c r="G30" s="455" t="s">
        <v>1198</v>
      </c>
      <c r="H30" s="456" t="s">
        <v>1218</v>
      </c>
      <c r="I30" s="451">
        <v>318725</v>
      </c>
      <c r="J30" s="451">
        <v>15936.25</v>
      </c>
      <c r="K30" s="451">
        <v>15936.25</v>
      </c>
      <c r="L30" s="451">
        <v>0</v>
      </c>
      <c r="M30" s="451">
        <v>0</v>
      </c>
      <c r="N30" s="451">
        <v>0</v>
      </c>
      <c r="O30" s="451">
        <f t="shared" si="6"/>
        <v>286852.5</v>
      </c>
    </row>
    <row r="31" spans="1:15" s="228" customFormat="1" ht="24" customHeight="1" x14ac:dyDescent="0.2">
      <c r="A31" s="452">
        <v>22</v>
      </c>
      <c r="B31" s="453" t="s">
        <v>1060</v>
      </c>
      <c r="C31" s="454" t="s">
        <v>1219</v>
      </c>
      <c r="D31" s="454" t="s">
        <v>1220</v>
      </c>
      <c r="E31" s="455" t="s">
        <v>1139</v>
      </c>
      <c r="F31" s="455" t="s">
        <v>512</v>
      </c>
      <c r="G31" s="455" t="s">
        <v>1134</v>
      </c>
      <c r="H31" s="456" t="s">
        <v>1221</v>
      </c>
      <c r="I31" s="451">
        <v>2000</v>
      </c>
      <c r="J31" s="451">
        <v>1000</v>
      </c>
      <c r="K31" s="451">
        <v>1000</v>
      </c>
      <c r="L31" s="451">
        <v>0</v>
      </c>
      <c r="M31" s="451">
        <v>0</v>
      </c>
      <c r="N31" s="451">
        <v>0</v>
      </c>
      <c r="O31" s="451">
        <f t="shared" si="6"/>
        <v>0</v>
      </c>
    </row>
    <row r="32" spans="1:15" s="228" customFormat="1" ht="24" customHeight="1" x14ac:dyDescent="0.2">
      <c r="A32" s="452">
        <v>32</v>
      </c>
      <c r="B32" s="453" t="s">
        <v>1096</v>
      </c>
      <c r="C32" s="454" t="s">
        <v>1259</v>
      </c>
      <c r="D32" s="454" t="s">
        <v>1260</v>
      </c>
      <c r="E32" s="455" t="s">
        <v>1197</v>
      </c>
      <c r="F32" s="455" t="s">
        <v>512</v>
      </c>
      <c r="G32" s="455" t="s">
        <v>1162</v>
      </c>
      <c r="H32" s="456" t="s">
        <v>1261</v>
      </c>
      <c r="I32" s="451">
        <v>127490</v>
      </c>
      <c r="J32" s="451">
        <v>6374.5</v>
      </c>
      <c r="K32" s="451">
        <v>6374.5</v>
      </c>
      <c r="L32" s="451">
        <v>0</v>
      </c>
      <c r="M32" s="451">
        <v>0</v>
      </c>
      <c r="N32" s="451">
        <v>0</v>
      </c>
      <c r="O32" s="451">
        <f t="shared" si="6"/>
        <v>114741</v>
      </c>
    </row>
    <row r="33" spans="1:15" s="228" customFormat="1" ht="24" customHeight="1" x14ac:dyDescent="0.2">
      <c r="A33" s="452">
        <v>34</v>
      </c>
      <c r="B33" s="453" t="s">
        <v>1097</v>
      </c>
      <c r="C33" s="454" t="s">
        <v>1266</v>
      </c>
      <c r="D33" s="454" t="s">
        <v>1267</v>
      </c>
      <c r="E33" s="455" t="s">
        <v>1268</v>
      </c>
      <c r="F33" s="455" t="s">
        <v>512</v>
      </c>
      <c r="G33" s="455" t="s">
        <v>1269</v>
      </c>
      <c r="H33" s="456" t="s">
        <v>1270</v>
      </c>
      <c r="I33" s="451">
        <v>202000</v>
      </c>
      <c r="J33" s="451">
        <v>0</v>
      </c>
      <c r="K33" s="451">
        <v>0</v>
      </c>
      <c r="L33" s="451">
        <v>0</v>
      </c>
      <c r="M33" s="451">
        <v>0</v>
      </c>
      <c r="N33" s="457" t="s">
        <v>1255</v>
      </c>
      <c r="O33" s="451">
        <f t="shared" si="6"/>
        <v>202000</v>
      </c>
    </row>
    <row r="34" spans="1:15" s="228" customFormat="1" ht="24" customHeight="1" x14ac:dyDescent="0.2">
      <c r="A34" s="452">
        <v>39</v>
      </c>
      <c r="B34" s="453">
        <v>242796</v>
      </c>
      <c r="C34" s="458" t="s">
        <v>932</v>
      </c>
      <c r="D34" s="454" t="s">
        <v>933</v>
      </c>
      <c r="E34" s="455" t="s">
        <v>1139</v>
      </c>
      <c r="F34" s="455" t="s">
        <v>512</v>
      </c>
      <c r="G34" s="455" t="s">
        <v>1134</v>
      </c>
      <c r="H34" s="459" t="s">
        <v>1281</v>
      </c>
      <c r="I34" s="451">
        <v>79200</v>
      </c>
      <c r="J34" s="451">
        <v>0</v>
      </c>
      <c r="K34" s="451">
        <v>0</v>
      </c>
      <c r="L34" s="451">
        <v>0</v>
      </c>
      <c r="M34" s="451">
        <v>0</v>
      </c>
      <c r="N34" s="451">
        <v>0</v>
      </c>
      <c r="O34" s="451">
        <f t="shared" si="6"/>
        <v>79200</v>
      </c>
    </row>
    <row r="35" spans="1:15" s="228" customFormat="1" ht="24" customHeight="1" x14ac:dyDescent="0.2">
      <c r="A35" s="452">
        <v>41</v>
      </c>
      <c r="B35" s="453">
        <v>242796</v>
      </c>
      <c r="C35" s="458" t="s">
        <v>932</v>
      </c>
      <c r="D35" s="454" t="s">
        <v>933</v>
      </c>
      <c r="E35" s="455" t="s">
        <v>1139</v>
      </c>
      <c r="F35" s="455" t="s">
        <v>512</v>
      </c>
      <c r="G35" s="455" t="s">
        <v>1134</v>
      </c>
      <c r="H35" s="459" t="s">
        <v>1283</v>
      </c>
      <c r="I35" s="451">
        <v>18000</v>
      </c>
      <c r="J35" s="451">
        <v>0</v>
      </c>
      <c r="K35" s="451">
        <v>0</v>
      </c>
      <c r="L35" s="451">
        <v>0</v>
      </c>
      <c r="M35" s="451">
        <v>0</v>
      </c>
      <c r="N35" s="451">
        <v>0</v>
      </c>
      <c r="O35" s="451">
        <f t="shared" si="6"/>
        <v>18000</v>
      </c>
    </row>
    <row r="36" spans="1:15" s="228" customFormat="1" ht="24" customHeight="1" x14ac:dyDescent="0.2">
      <c r="A36" s="465" t="s">
        <v>22</v>
      </c>
      <c r="B36" s="466"/>
      <c r="C36" s="467"/>
      <c r="D36" s="468"/>
      <c r="E36" s="465"/>
      <c r="F36" s="465"/>
      <c r="G36" s="465"/>
      <c r="H36" s="471"/>
      <c r="I36" s="470">
        <f>SUM(I37:I54)</f>
        <v>4515693.68</v>
      </c>
      <c r="J36" s="470">
        <f t="shared" ref="J36:O36" si="7">SUM(J37:J54)</f>
        <v>53550.29</v>
      </c>
      <c r="K36" s="470">
        <f t="shared" si="7"/>
        <v>53550.29</v>
      </c>
      <c r="L36" s="470">
        <f t="shared" si="7"/>
        <v>153300</v>
      </c>
      <c r="M36" s="470">
        <f t="shared" si="7"/>
        <v>153300</v>
      </c>
      <c r="N36" s="470">
        <f t="shared" si="7"/>
        <v>0</v>
      </c>
      <c r="O36" s="470">
        <f t="shared" si="7"/>
        <v>4101993.1</v>
      </c>
    </row>
    <row r="37" spans="1:15" s="228" customFormat="1" ht="24" customHeight="1" x14ac:dyDescent="0.2">
      <c r="A37" s="452">
        <v>36</v>
      </c>
      <c r="B37" s="453" t="s">
        <v>1069</v>
      </c>
      <c r="C37" s="454" t="s">
        <v>1070</v>
      </c>
      <c r="D37" s="454" t="s">
        <v>1071</v>
      </c>
      <c r="E37" s="455" t="s">
        <v>1072</v>
      </c>
      <c r="F37" s="455" t="s">
        <v>22</v>
      </c>
      <c r="G37" s="455" t="s">
        <v>1073</v>
      </c>
      <c r="H37" s="456" t="s">
        <v>1074</v>
      </c>
      <c r="I37" s="451">
        <v>20000</v>
      </c>
      <c r="J37" s="451">
        <v>0</v>
      </c>
      <c r="K37" s="451">
        <v>0</v>
      </c>
      <c r="L37" s="451">
        <v>0</v>
      </c>
      <c r="M37" s="451">
        <v>0</v>
      </c>
      <c r="N37" s="461" t="s">
        <v>311</v>
      </c>
      <c r="O37" s="451">
        <f t="shared" ref="O37:O54" si="8">+I37-(SUM(J37:N37))</f>
        <v>20000</v>
      </c>
    </row>
    <row r="38" spans="1:15" s="228" customFormat="1" ht="24" customHeight="1" x14ac:dyDescent="0.2">
      <c r="A38" s="452">
        <v>1</v>
      </c>
      <c r="B38" s="453" t="s">
        <v>1123</v>
      </c>
      <c r="C38" s="454" t="s">
        <v>1124</v>
      </c>
      <c r="D38" s="454" t="s">
        <v>1125</v>
      </c>
      <c r="E38" s="455" t="s">
        <v>1126</v>
      </c>
      <c r="F38" s="455" t="s">
        <v>22</v>
      </c>
      <c r="G38" s="455" t="s">
        <v>1127</v>
      </c>
      <c r="H38" s="456" t="s">
        <v>1128</v>
      </c>
      <c r="I38" s="451">
        <v>200000</v>
      </c>
      <c r="J38" s="451">
        <v>0</v>
      </c>
      <c r="K38" s="451">
        <v>0</v>
      </c>
      <c r="L38" s="451">
        <v>15000</v>
      </c>
      <c r="M38" s="451">
        <v>15000</v>
      </c>
      <c r="N38" s="451">
        <v>0</v>
      </c>
      <c r="O38" s="451">
        <f t="shared" si="8"/>
        <v>170000</v>
      </c>
    </row>
    <row r="39" spans="1:15" s="228" customFormat="1" ht="24" customHeight="1" x14ac:dyDescent="0.2">
      <c r="A39" s="452">
        <v>4</v>
      </c>
      <c r="B39" s="453" t="s">
        <v>1141</v>
      </c>
      <c r="C39" s="454" t="s">
        <v>1142</v>
      </c>
      <c r="D39" s="454" t="s">
        <v>1143</v>
      </c>
      <c r="E39" s="455" t="s">
        <v>492</v>
      </c>
      <c r="F39" s="455" t="s">
        <v>22</v>
      </c>
      <c r="G39" s="455" t="s">
        <v>1144</v>
      </c>
      <c r="H39" s="456" t="s">
        <v>1145</v>
      </c>
      <c r="I39" s="451">
        <v>139650</v>
      </c>
      <c r="J39" s="451">
        <v>6982.5</v>
      </c>
      <c r="K39" s="451">
        <v>6982.5</v>
      </c>
      <c r="L39" s="451">
        <v>0</v>
      </c>
      <c r="M39" s="451">
        <v>0</v>
      </c>
      <c r="N39" s="451">
        <v>0</v>
      </c>
      <c r="O39" s="451">
        <f t="shared" si="8"/>
        <v>125685</v>
      </c>
    </row>
    <row r="40" spans="1:15" s="228" customFormat="1" ht="24" customHeight="1" x14ac:dyDescent="0.2">
      <c r="A40" s="452">
        <v>5</v>
      </c>
      <c r="B40" s="453" t="s">
        <v>960</v>
      </c>
      <c r="C40" s="454" t="s">
        <v>1146</v>
      </c>
      <c r="D40" s="454" t="s">
        <v>1147</v>
      </c>
      <c r="E40" s="455" t="s">
        <v>451</v>
      </c>
      <c r="F40" s="455" t="s">
        <v>22</v>
      </c>
      <c r="G40" s="455" t="s">
        <v>452</v>
      </c>
      <c r="H40" s="456" t="s">
        <v>1148</v>
      </c>
      <c r="I40" s="451">
        <v>198905.68</v>
      </c>
      <c r="J40" s="451">
        <v>9945.2900000000009</v>
      </c>
      <c r="K40" s="451">
        <v>9945.2900000000009</v>
      </c>
      <c r="L40" s="451">
        <v>0</v>
      </c>
      <c r="M40" s="451">
        <v>0</v>
      </c>
      <c r="N40" s="451">
        <v>0</v>
      </c>
      <c r="O40" s="451">
        <f t="shared" si="8"/>
        <v>179015.09999999998</v>
      </c>
    </row>
    <row r="41" spans="1:15" s="228" customFormat="1" ht="24" customHeight="1" x14ac:dyDescent="0.2">
      <c r="A41" s="452">
        <v>6</v>
      </c>
      <c r="B41" s="453" t="s">
        <v>976</v>
      </c>
      <c r="C41" s="454" t="s">
        <v>1149</v>
      </c>
      <c r="D41" s="454" t="s">
        <v>1150</v>
      </c>
      <c r="E41" s="455" t="s">
        <v>1151</v>
      </c>
      <c r="F41" s="455" t="s">
        <v>22</v>
      </c>
      <c r="G41" s="455" t="s">
        <v>1152</v>
      </c>
      <c r="H41" s="456" t="s">
        <v>1153</v>
      </c>
      <c r="I41" s="451">
        <v>172000</v>
      </c>
      <c r="J41" s="451">
        <v>0</v>
      </c>
      <c r="K41" s="451">
        <v>0</v>
      </c>
      <c r="L41" s="451">
        <v>15000</v>
      </c>
      <c r="M41" s="451">
        <v>15000</v>
      </c>
      <c r="N41" s="451">
        <v>0</v>
      </c>
      <c r="O41" s="451">
        <f t="shared" si="8"/>
        <v>142000</v>
      </c>
    </row>
    <row r="42" spans="1:15" s="228" customFormat="1" ht="24" customHeight="1" x14ac:dyDescent="0.2">
      <c r="A42" s="452">
        <v>7</v>
      </c>
      <c r="B42" s="453" t="s">
        <v>1154</v>
      </c>
      <c r="C42" s="454" t="s">
        <v>1155</v>
      </c>
      <c r="D42" s="454" t="s">
        <v>1156</v>
      </c>
      <c r="E42" s="455" t="s">
        <v>1157</v>
      </c>
      <c r="F42" s="455" t="s">
        <v>22</v>
      </c>
      <c r="G42" s="455" t="s">
        <v>1103</v>
      </c>
      <c r="H42" s="456" t="s">
        <v>1158</v>
      </c>
      <c r="I42" s="451">
        <v>118900</v>
      </c>
      <c r="J42" s="451">
        <v>0</v>
      </c>
      <c r="K42" s="451">
        <v>0</v>
      </c>
      <c r="L42" s="451">
        <v>59450</v>
      </c>
      <c r="M42" s="451">
        <v>59450</v>
      </c>
      <c r="N42" s="451">
        <v>0</v>
      </c>
      <c r="O42" s="451">
        <f t="shared" si="8"/>
        <v>0</v>
      </c>
    </row>
    <row r="43" spans="1:15" s="228" customFormat="1" ht="24" customHeight="1" x14ac:dyDescent="0.2">
      <c r="A43" s="452">
        <v>8</v>
      </c>
      <c r="B43" s="453" t="s">
        <v>1159</v>
      </c>
      <c r="C43" s="454" t="s">
        <v>1160</v>
      </c>
      <c r="D43" s="454" t="s">
        <v>1161</v>
      </c>
      <c r="E43" s="455" t="s">
        <v>451</v>
      </c>
      <c r="F43" s="455" t="s">
        <v>22</v>
      </c>
      <c r="G43" s="455" t="s">
        <v>1162</v>
      </c>
      <c r="H43" s="456" t="s">
        <v>1163</v>
      </c>
      <c r="I43" s="451">
        <v>156750</v>
      </c>
      <c r="J43" s="451">
        <v>0</v>
      </c>
      <c r="K43" s="451">
        <v>0</v>
      </c>
      <c r="L43" s="451">
        <v>7837.5</v>
      </c>
      <c r="M43" s="451">
        <v>7837.5</v>
      </c>
      <c r="N43" s="451">
        <v>0</v>
      </c>
      <c r="O43" s="451">
        <f t="shared" si="8"/>
        <v>141075</v>
      </c>
    </row>
    <row r="44" spans="1:15" s="228" customFormat="1" ht="24" customHeight="1" x14ac:dyDescent="0.2">
      <c r="A44" s="452">
        <v>11</v>
      </c>
      <c r="B44" s="453" t="s">
        <v>1025</v>
      </c>
      <c r="C44" s="454" t="s">
        <v>1175</v>
      </c>
      <c r="D44" s="454" t="s">
        <v>1176</v>
      </c>
      <c r="E44" s="455" t="s">
        <v>1177</v>
      </c>
      <c r="F44" s="455" t="s">
        <v>22</v>
      </c>
      <c r="G44" s="455" t="s">
        <v>1178</v>
      </c>
      <c r="H44" s="456" t="s">
        <v>1179</v>
      </c>
      <c r="I44" s="451">
        <v>30000</v>
      </c>
      <c r="J44" s="451">
        <v>1500</v>
      </c>
      <c r="K44" s="451">
        <v>1500</v>
      </c>
      <c r="L44" s="451">
        <v>0</v>
      </c>
      <c r="M44" s="451">
        <v>0</v>
      </c>
      <c r="N44" s="451">
        <v>0</v>
      </c>
      <c r="O44" s="451">
        <f t="shared" si="8"/>
        <v>27000</v>
      </c>
    </row>
    <row r="45" spans="1:15" s="228" customFormat="1" ht="24" customHeight="1" x14ac:dyDescent="0.2">
      <c r="A45" s="452">
        <v>12</v>
      </c>
      <c r="B45" s="453" t="s">
        <v>1025</v>
      </c>
      <c r="C45" s="454" t="s">
        <v>1175</v>
      </c>
      <c r="D45" s="454" t="s">
        <v>1176</v>
      </c>
      <c r="E45" s="455" t="s">
        <v>1180</v>
      </c>
      <c r="F45" s="455" t="s">
        <v>22</v>
      </c>
      <c r="G45" s="455" t="s">
        <v>1178</v>
      </c>
      <c r="H45" s="456" t="s">
        <v>1181</v>
      </c>
      <c r="I45" s="451">
        <v>30000</v>
      </c>
      <c r="J45" s="451">
        <v>1500</v>
      </c>
      <c r="K45" s="451">
        <v>1500</v>
      </c>
      <c r="L45" s="451">
        <v>0</v>
      </c>
      <c r="M45" s="451">
        <v>0</v>
      </c>
      <c r="N45" s="451">
        <v>0</v>
      </c>
      <c r="O45" s="451">
        <f t="shared" si="8"/>
        <v>27000</v>
      </c>
    </row>
    <row r="46" spans="1:15" s="228" customFormat="1" ht="24" customHeight="1" x14ac:dyDescent="0.2">
      <c r="A46" s="452">
        <v>14</v>
      </c>
      <c r="B46" s="453" t="s">
        <v>1030</v>
      </c>
      <c r="C46" s="454" t="s">
        <v>1190</v>
      </c>
      <c r="D46" s="454" t="s">
        <v>1191</v>
      </c>
      <c r="E46" s="455" t="s">
        <v>1192</v>
      </c>
      <c r="F46" s="455" t="s">
        <v>22</v>
      </c>
      <c r="G46" s="455" t="s">
        <v>1162</v>
      </c>
      <c r="H46" s="456" t="s">
        <v>1193</v>
      </c>
      <c r="I46" s="451">
        <v>93100</v>
      </c>
      <c r="J46" s="451">
        <v>4655</v>
      </c>
      <c r="K46" s="451">
        <v>4655</v>
      </c>
      <c r="L46" s="451">
        <v>0</v>
      </c>
      <c r="M46" s="451">
        <v>0</v>
      </c>
      <c r="N46" s="451">
        <v>0</v>
      </c>
      <c r="O46" s="451">
        <f t="shared" si="8"/>
        <v>83790</v>
      </c>
    </row>
    <row r="47" spans="1:15" s="228" customFormat="1" ht="24" customHeight="1" x14ac:dyDescent="0.2">
      <c r="A47" s="452">
        <v>24</v>
      </c>
      <c r="B47" s="453" t="s">
        <v>1075</v>
      </c>
      <c r="C47" s="454" t="s">
        <v>1076</v>
      </c>
      <c r="D47" s="454" t="s">
        <v>1077</v>
      </c>
      <c r="E47" s="455" t="s">
        <v>1226</v>
      </c>
      <c r="F47" s="455" t="s">
        <v>22</v>
      </c>
      <c r="G47" s="455" t="s">
        <v>1079</v>
      </c>
      <c r="H47" s="456" t="s">
        <v>1227</v>
      </c>
      <c r="I47" s="451">
        <v>300000</v>
      </c>
      <c r="J47" s="451">
        <v>0</v>
      </c>
      <c r="K47" s="451">
        <v>0</v>
      </c>
      <c r="L47" s="451">
        <v>0</v>
      </c>
      <c r="M47" s="451">
        <v>0</v>
      </c>
      <c r="N47" s="461" t="s">
        <v>311</v>
      </c>
      <c r="O47" s="451">
        <f t="shared" si="8"/>
        <v>300000</v>
      </c>
    </row>
    <row r="48" spans="1:15" s="228" customFormat="1" ht="24" customHeight="1" x14ac:dyDescent="0.2">
      <c r="A48" s="452">
        <v>26</v>
      </c>
      <c r="B48" s="453" t="s">
        <v>1231</v>
      </c>
      <c r="C48" s="454" t="s">
        <v>1232</v>
      </c>
      <c r="D48" s="454" t="s">
        <v>1233</v>
      </c>
      <c r="E48" s="455" t="s">
        <v>1234</v>
      </c>
      <c r="F48" s="455" t="s">
        <v>22</v>
      </c>
      <c r="G48" s="455" t="s">
        <v>1235</v>
      </c>
      <c r="H48" s="456" t="s">
        <v>1236</v>
      </c>
      <c r="I48" s="451">
        <v>2137413</v>
      </c>
      <c r="J48" s="451">
        <v>0</v>
      </c>
      <c r="K48" s="451">
        <v>0</v>
      </c>
      <c r="L48" s="451">
        <f>80500/2</f>
        <v>40250</v>
      </c>
      <c r="M48" s="451">
        <f>80500/2</f>
        <v>40250</v>
      </c>
      <c r="N48" s="451">
        <v>0</v>
      </c>
      <c r="O48" s="451">
        <f t="shared" si="8"/>
        <v>2056913</v>
      </c>
    </row>
    <row r="49" spans="1:15" s="228" customFormat="1" ht="24" customHeight="1" x14ac:dyDescent="0.2">
      <c r="A49" s="452">
        <v>27</v>
      </c>
      <c r="B49" s="453" t="s">
        <v>1237</v>
      </c>
      <c r="C49" s="454" t="s">
        <v>1238</v>
      </c>
      <c r="D49" s="454" t="s">
        <v>1239</v>
      </c>
      <c r="E49" s="455" t="s">
        <v>451</v>
      </c>
      <c r="F49" s="455" t="s">
        <v>22</v>
      </c>
      <c r="G49" s="455" t="s">
        <v>1162</v>
      </c>
      <c r="H49" s="456" t="s">
        <v>1240</v>
      </c>
      <c r="I49" s="451">
        <v>339625</v>
      </c>
      <c r="J49" s="451">
        <v>0</v>
      </c>
      <c r="K49" s="451">
        <v>0</v>
      </c>
      <c r="L49" s="451">
        <v>15762.5</v>
      </c>
      <c r="M49" s="451">
        <v>15762.5</v>
      </c>
      <c r="N49" s="451">
        <v>0</v>
      </c>
      <c r="O49" s="451">
        <f t="shared" si="8"/>
        <v>308100</v>
      </c>
    </row>
    <row r="50" spans="1:15" s="228" customFormat="1" ht="24" customHeight="1" x14ac:dyDescent="0.2">
      <c r="A50" s="452">
        <v>31</v>
      </c>
      <c r="B50" s="453" t="s">
        <v>1096</v>
      </c>
      <c r="C50" s="454" t="s">
        <v>1256</v>
      </c>
      <c r="D50" s="454" t="s">
        <v>1257</v>
      </c>
      <c r="E50" s="455" t="s">
        <v>1192</v>
      </c>
      <c r="F50" s="455" t="s">
        <v>22</v>
      </c>
      <c r="G50" s="455" t="s">
        <v>1162</v>
      </c>
      <c r="H50" s="456" t="s">
        <v>1258</v>
      </c>
      <c r="I50" s="451">
        <f>93100+24500</f>
        <v>117600</v>
      </c>
      <c r="J50" s="451">
        <v>5880</v>
      </c>
      <c r="K50" s="451">
        <v>5880</v>
      </c>
      <c r="L50" s="451">
        <v>0</v>
      </c>
      <c r="M50" s="451">
        <v>0</v>
      </c>
      <c r="N50" s="451">
        <v>0</v>
      </c>
      <c r="O50" s="451">
        <f t="shared" si="8"/>
        <v>105840</v>
      </c>
    </row>
    <row r="51" spans="1:15" s="228" customFormat="1" ht="24" customHeight="1" x14ac:dyDescent="0.2">
      <c r="A51" s="452">
        <v>33</v>
      </c>
      <c r="B51" s="453" t="s">
        <v>1097</v>
      </c>
      <c r="C51" s="454" t="s">
        <v>1262</v>
      </c>
      <c r="D51" s="454" t="s">
        <v>1263</v>
      </c>
      <c r="E51" s="455" t="s">
        <v>1180</v>
      </c>
      <c r="F51" s="455" t="s">
        <v>22</v>
      </c>
      <c r="G51" s="455" t="s">
        <v>1264</v>
      </c>
      <c r="H51" s="456" t="s">
        <v>1265</v>
      </c>
      <c r="I51" s="451">
        <v>20000</v>
      </c>
      <c r="J51" s="451">
        <v>1000</v>
      </c>
      <c r="K51" s="451">
        <v>1000</v>
      </c>
      <c r="L51" s="451">
        <v>0</v>
      </c>
      <c r="M51" s="451">
        <v>0</v>
      </c>
      <c r="N51" s="451">
        <v>0</v>
      </c>
      <c r="O51" s="451">
        <f t="shared" si="8"/>
        <v>18000</v>
      </c>
    </row>
    <row r="52" spans="1:15" s="228" customFormat="1" ht="24" customHeight="1" x14ac:dyDescent="0.2">
      <c r="A52" s="452">
        <v>35</v>
      </c>
      <c r="B52" s="453" t="s">
        <v>1097</v>
      </c>
      <c r="C52" s="454" t="s">
        <v>1271</v>
      </c>
      <c r="D52" s="454" t="s">
        <v>1272</v>
      </c>
      <c r="E52" s="455" t="s">
        <v>1273</v>
      </c>
      <c r="F52" s="455" t="s">
        <v>22</v>
      </c>
      <c r="G52" s="455" t="s">
        <v>1162</v>
      </c>
      <c r="H52" s="456" t="s">
        <v>1274</v>
      </c>
      <c r="I52" s="451">
        <v>321740</v>
      </c>
      <c r="J52" s="451">
        <v>16082.5</v>
      </c>
      <c r="K52" s="451">
        <v>16082.5</v>
      </c>
      <c r="L52" s="451">
        <v>0</v>
      </c>
      <c r="M52" s="451">
        <v>0</v>
      </c>
      <c r="N52" s="451">
        <v>0</v>
      </c>
      <c r="O52" s="451">
        <f t="shared" si="8"/>
        <v>289575</v>
      </c>
    </row>
    <row r="53" spans="1:15" s="228" customFormat="1" ht="24" customHeight="1" x14ac:dyDescent="0.2">
      <c r="A53" s="452">
        <v>36</v>
      </c>
      <c r="B53" s="453" t="s">
        <v>1097</v>
      </c>
      <c r="C53" s="460" t="s">
        <v>1109</v>
      </c>
      <c r="D53" s="454" t="s">
        <v>1275</v>
      </c>
      <c r="E53" s="455" t="s">
        <v>1273</v>
      </c>
      <c r="F53" s="455" t="s">
        <v>22</v>
      </c>
      <c r="G53" s="455" t="s">
        <v>1162</v>
      </c>
      <c r="H53" s="456" t="s">
        <v>1276</v>
      </c>
      <c r="I53" s="451">
        <v>10</v>
      </c>
      <c r="J53" s="451">
        <v>5</v>
      </c>
      <c r="K53" s="451">
        <v>5</v>
      </c>
      <c r="L53" s="451">
        <v>0</v>
      </c>
      <c r="M53" s="451">
        <v>0</v>
      </c>
      <c r="N53" s="451">
        <v>0</v>
      </c>
      <c r="O53" s="451">
        <f t="shared" si="8"/>
        <v>0</v>
      </c>
    </row>
    <row r="54" spans="1:15" s="228" customFormat="1" ht="24" customHeight="1" x14ac:dyDescent="0.2">
      <c r="A54" s="452">
        <v>37</v>
      </c>
      <c r="B54" s="453" t="s">
        <v>1097</v>
      </c>
      <c r="C54" s="460" t="s">
        <v>1109</v>
      </c>
      <c r="D54" s="454" t="s">
        <v>1277</v>
      </c>
      <c r="E54" s="455" t="s">
        <v>451</v>
      </c>
      <c r="F54" s="455" t="s">
        <v>22</v>
      </c>
      <c r="G54" s="455" t="s">
        <v>1278</v>
      </c>
      <c r="H54" s="456" t="s">
        <v>1279</v>
      </c>
      <c r="I54" s="451">
        <v>120000</v>
      </c>
      <c r="J54" s="451">
        <v>6000</v>
      </c>
      <c r="K54" s="451">
        <v>6000</v>
      </c>
      <c r="L54" s="451">
        <v>0</v>
      </c>
      <c r="M54" s="451">
        <v>0</v>
      </c>
      <c r="N54" s="451">
        <v>0</v>
      </c>
      <c r="O54" s="451">
        <f t="shared" si="8"/>
        <v>108000</v>
      </c>
    </row>
    <row r="55" spans="1:15" s="228" customFormat="1" ht="24" customHeight="1" x14ac:dyDescent="0.2">
      <c r="A55" s="465" t="s">
        <v>1229</v>
      </c>
      <c r="B55" s="466"/>
      <c r="C55" s="472"/>
      <c r="D55" s="468"/>
      <c r="E55" s="465"/>
      <c r="F55" s="465"/>
      <c r="G55" s="465"/>
      <c r="H55" s="469"/>
      <c r="I55" s="470">
        <f>SUM(I56)</f>
        <v>291000</v>
      </c>
      <c r="J55" s="470">
        <f t="shared" ref="J55:O55" si="9">SUM(J56)</f>
        <v>0</v>
      </c>
      <c r="K55" s="470">
        <f t="shared" si="9"/>
        <v>0</v>
      </c>
      <c r="L55" s="470">
        <f t="shared" si="9"/>
        <v>0</v>
      </c>
      <c r="M55" s="470">
        <f t="shared" si="9"/>
        <v>0</v>
      </c>
      <c r="N55" s="470">
        <f t="shared" si="9"/>
        <v>0</v>
      </c>
      <c r="O55" s="470">
        <f t="shared" si="9"/>
        <v>291000</v>
      </c>
    </row>
    <row r="56" spans="1:15" s="228" customFormat="1" ht="24" customHeight="1" x14ac:dyDescent="0.2">
      <c r="A56" s="452">
        <v>25</v>
      </c>
      <c r="B56" s="453" t="s">
        <v>1075</v>
      </c>
      <c r="C56" s="454" t="s">
        <v>1076</v>
      </c>
      <c r="D56" s="454" t="s">
        <v>1077</v>
      </c>
      <c r="E56" s="455" t="s">
        <v>1228</v>
      </c>
      <c r="F56" s="455" t="s">
        <v>1229</v>
      </c>
      <c r="G56" s="455" t="s">
        <v>1079</v>
      </c>
      <c r="H56" s="456" t="s">
        <v>1230</v>
      </c>
      <c r="I56" s="451">
        <v>291000</v>
      </c>
      <c r="J56" s="451">
        <v>0</v>
      </c>
      <c r="K56" s="451">
        <v>0</v>
      </c>
      <c r="L56" s="451">
        <v>0</v>
      </c>
      <c r="M56" s="451">
        <v>0</v>
      </c>
      <c r="N56" s="461" t="s">
        <v>311</v>
      </c>
      <c r="O56" s="451">
        <f>+I56-(SUM(J56:N56))</f>
        <v>291000</v>
      </c>
    </row>
    <row r="57" spans="1:15" s="228" customFormat="1" ht="24" customHeight="1" x14ac:dyDescent="0.2">
      <c r="A57" s="465" t="s">
        <v>19</v>
      </c>
      <c r="B57" s="466"/>
      <c r="C57" s="468"/>
      <c r="D57" s="468"/>
      <c r="E57" s="465"/>
      <c r="F57" s="465"/>
      <c r="G57" s="465"/>
      <c r="H57" s="469"/>
      <c r="I57" s="470">
        <f>SUM(I58:I71)</f>
        <v>3662847</v>
      </c>
      <c r="J57" s="470">
        <f t="shared" ref="J57:O57" si="10">SUM(J58:J71)</f>
        <v>179771.6</v>
      </c>
      <c r="K57" s="470">
        <f t="shared" si="10"/>
        <v>179771.6</v>
      </c>
      <c r="L57" s="470">
        <f t="shared" si="10"/>
        <v>33707.5</v>
      </c>
      <c r="M57" s="470">
        <f t="shared" si="10"/>
        <v>33707.5</v>
      </c>
      <c r="N57" s="470">
        <f t="shared" si="10"/>
        <v>0</v>
      </c>
      <c r="O57" s="470">
        <f t="shared" si="10"/>
        <v>3235888.8</v>
      </c>
    </row>
    <row r="58" spans="1:15" s="228" customFormat="1" ht="24" customHeight="1" x14ac:dyDescent="0.2">
      <c r="A58" s="452">
        <v>9</v>
      </c>
      <c r="B58" s="453" t="s">
        <v>960</v>
      </c>
      <c r="C58" s="454" t="s">
        <v>961</v>
      </c>
      <c r="D58" s="454" t="s">
        <v>962</v>
      </c>
      <c r="E58" s="455" t="s">
        <v>963</v>
      </c>
      <c r="F58" s="455" t="s">
        <v>19</v>
      </c>
      <c r="G58" s="455" t="s">
        <v>964</v>
      </c>
      <c r="H58" s="456" t="s">
        <v>965</v>
      </c>
      <c r="I58" s="451">
        <v>570000</v>
      </c>
      <c r="J58" s="451">
        <v>28500</v>
      </c>
      <c r="K58" s="451">
        <v>28500</v>
      </c>
      <c r="L58" s="451">
        <v>0</v>
      </c>
      <c r="M58" s="451">
        <v>0</v>
      </c>
      <c r="N58" s="451">
        <v>0</v>
      </c>
      <c r="O58" s="451">
        <f t="shared" ref="O58:O71" si="11">+I58-(SUM(J58:N58))</f>
        <v>513000</v>
      </c>
    </row>
    <row r="59" spans="1:15" s="228" customFormat="1" ht="24" customHeight="1" x14ac:dyDescent="0.2">
      <c r="A59" s="452">
        <v>17</v>
      </c>
      <c r="B59" s="453" t="s">
        <v>988</v>
      </c>
      <c r="C59" s="454" t="s">
        <v>989</v>
      </c>
      <c r="D59" s="454" t="s">
        <v>990</v>
      </c>
      <c r="E59" s="455" t="s">
        <v>963</v>
      </c>
      <c r="F59" s="455" t="s">
        <v>19</v>
      </c>
      <c r="G59" s="455" t="s">
        <v>964</v>
      </c>
      <c r="H59" s="456" t="s">
        <v>991</v>
      </c>
      <c r="I59" s="451">
        <v>380000</v>
      </c>
      <c r="J59" s="451">
        <v>19000</v>
      </c>
      <c r="K59" s="451">
        <v>19000</v>
      </c>
      <c r="L59" s="451">
        <v>0</v>
      </c>
      <c r="M59" s="451">
        <v>0</v>
      </c>
      <c r="N59" s="451">
        <v>0</v>
      </c>
      <c r="O59" s="451">
        <f t="shared" si="11"/>
        <v>342000</v>
      </c>
    </row>
    <row r="60" spans="1:15" s="228" customFormat="1" ht="24" customHeight="1" x14ac:dyDescent="0.2">
      <c r="A60" s="452">
        <v>18</v>
      </c>
      <c r="B60" s="453" t="s">
        <v>988</v>
      </c>
      <c r="C60" s="454" t="s">
        <v>992</v>
      </c>
      <c r="D60" s="454" t="s">
        <v>990</v>
      </c>
      <c r="E60" s="455" t="s">
        <v>963</v>
      </c>
      <c r="F60" s="455" t="s">
        <v>19</v>
      </c>
      <c r="G60" s="455" t="s">
        <v>964</v>
      </c>
      <c r="H60" s="456" t="s">
        <v>993</v>
      </c>
      <c r="I60" s="451">
        <v>20000</v>
      </c>
      <c r="J60" s="451">
        <v>1000</v>
      </c>
      <c r="K60" s="451">
        <v>1000</v>
      </c>
      <c r="L60" s="451">
        <v>0</v>
      </c>
      <c r="M60" s="451">
        <v>0</v>
      </c>
      <c r="N60" s="451">
        <v>0</v>
      </c>
      <c r="O60" s="451">
        <f t="shared" si="11"/>
        <v>18000</v>
      </c>
    </row>
    <row r="61" spans="1:15" s="228" customFormat="1" ht="24" customHeight="1" x14ac:dyDescent="0.2">
      <c r="A61" s="452">
        <v>21</v>
      </c>
      <c r="B61" s="453" t="s">
        <v>1000</v>
      </c>
      <c r="C61" s="454" t="s">
        <v>1001</v>
      </c>
      <c r="D61" s="454" t="s">
        <v>1002</v>
      </c>
      <c r="E61" s="455" t="s">
        <v>963</v>
      </c>
      <c r="F61" s="455" t="s">
        <v>19</v>
      </c>
      <c r="G61" s="455" t="s">
        <v>964</v>
      </c>
      <c r="H61" s="456" t="s">
        <v>1003</v>
      </c>
      <c r="I61" s="451">
        <v>30000</v>
      </c>
      <c r="J61" s="451">
        <v>1500</v>
      </c>
      <c r="K61" s="451">
        <v>1500</v>
      </c>
      <c r="L61" s="451">
        <v>0</v>
      </c>
      <c r="M61" s="451">
        <v>0</v>
      </c>
      <c r="N61" s="451">
        <v>0</v>
      </c>
      <c r="O61" s="451">
        <f t="shared" si="11"/>
        <v>27000</v>
      </c>
    </row>
    <row r="62" spans="1:15" s="228" customFormat="1" ht="24" customHeight="1" x14ac:dyDescent="0.2">
      <c r="A62" s="452">
        <v>22</v>
      </c>
      <c r="B62" s="453" t="s">
        <v>1004</v>
      </c>
      <c r="C62" s="454" t="s">
        <v>1005</v>
      </c>
      <c r="D62" s="454" t="s">
        <v>1006</v>
      </c>
      <c r="E62" s="455" t="s">
        <v>963</v>
      </c>
      <c r="F62" s="455" t="s">
        <v>19</v>
      </c>
      <c r="G62" s="455" t="s">
        <v>964</v>
      </c>
      <c r="H62" s="456" t="s">
        <v>1007</v>
      </c>
      <c r="I62" s="451">
        <v>30000</v>
      </c>
      <c r="J62" s="451">
        <v>1500</v>
      </c>
      <c r="K62" s="451">
        <v>1500</v>
      </c>
      <c r="L62" s="451">
        <v>0</v>
      </c>
      <c r="M62" s="451">
        <v>0</v>
      </c>
      <c r="N62" s="451">
        <v>0</v>
      </c>
      <c r="O62" s="451">
        <f t="shared" si="11"/>
        <v>27000</v>
      </c>
    </row>
    <row r="63" spans="1:15" s="228" customFormat="1" ht="24" customHeight="1" x14ac:dyDescent="0.2">
      <c r="A63" s="452">
        <v>23</v>
      </c>
      <c r="B63" s="453" t="s">
        <v>1004</v>
      </c>
      <c r="C63" s="454" t="s">
        <v>1008</v>
      </c>
      <c r="D63" s="454" t="s">
        <v>1006</v>
      </c>
      <c r="E63" s="455" t="s">
        <v>963</v>
      </c>
      <c r="F63" s="455" t="s">
        <v>19</v>
      </c>
      <c r="G63" s="455" t="s">
        <v>964</v>
      </c>
      <c r="H63" s="456" t="s">
        <v>1009</v>
      </c>
      <c r="I63" s="451">
        <v>20000</v>
      </c>
      <c r="J63" s="451">
        <v>1000</v>
      </c>
      <c r="K63" s="451">
        <v>1000</v>
      </c>
      <c r="L63" s="451">
        <v>0</v>
      </c>
      <c r="M63" s="451">
        <v>0</v>
      </c>
      <c r="N63" s="451">
        <v>0</v>
      </c>
      <c r="O63" s="451">
        <f t="shared" si="11"/>
        <v>18000</v>
      </c>
    </row>
    <row r="64" spans="1:15" s="228" customFormat="1" ht="24" customHeight="1" x14ac:dyDescent="0.2">
      <c r="A64" s="452">
        <v>24</v>
      </c>
      <c r="B64" s="453" t="s">
        <v>1010</v>
      </c>
      <c r="C64" s="454" t="s">
        <v>1011</v>
      </c>
      <c r="D64" s="454" t="s">
        <v>1012</v>
      </c>
      <c r="E64" s="455" t="s">
        <v>199</v>
      </c>
      <c r="F64" s="455" t="s">
        <v>19</v>
      </c>
      <c r="G64" s="455" t="s">
        <v>1013</v>
      </c>
      <c r="H64" s="456" t="s">
        <v>1014</v>
      </c>
      <c r="I64" s="451">
        <v>70000</v>
      </c>
      <c r="J64" s="451">
        <v>3500</v>
      </c>
      <c r="K64" s="451">
        <v>3500</v>
      </c>
      <c r="L64" s="451">
        <v>0</v>
      </c>
      <c r="M64" s="451">
        <v>0</v>
      </c>
      <c r="N64" s="451">
        <v>0</v>
      </c>
      <c r="O64" s="451">
        <f t="shared" si="11"/>
        <v>63000</v>
      </c>
    </row>
    <row r="65" spans="1:16" s="228" customFormat="1" ht="24" customHeight="1" x14ac:dyDescent="0.2">
      <c r="A65" s="452">
        <v>27</v>
      </c>
      <c r="B65" s="453" t="s">
        <v>1025</v>
      </c>
      <c r="C65" s="454" t="s">
        <v>1026</v>
      </c>
      <c r="D65" s="454" t="s">
        <v>1027</v>
      </c>
      <c r="E65" s="455" t="s">
        <v>963</v>
      </c>
      <c r="F65" s="455" t="s">
        <v>19</v>
      </c>
      <c r="G65" s="455" t="s">
        <v>1028</v>
      </c>
      <c r="H65" s="456" t="s">
        <v>1029</v>
      </c>
      <c r="I65" s="451">
        <v>1000000</v>
      </c>
      <c r="J65" s="451">
        <v>50000</v>
      </c>
      <c r="K65" s="451">
        <v>50000</v>
      </c>
      <c r="L65" s="451">
        <v>0</v>
      </c>
      <c r="M65" s="451">
        <v>0</v>
      </c>
      <c r="N65" s="451">
        <v>0</v>
      </c>
      <c r="O65" s="451">
        <f t="shared" si="11"/>
        <v>900000</v>
      </c>
    </row>
    <row r="66" spans="1:16" s="228" customFormat="1" ht="24" customHeight="1" x14ac:dyDescent="0.2">
      <c r="A66" s="452">
        <v>30</v>
      </c>
      <c r="B66" s="453" t="s">
        <v>1041</v>
      </c>
      <c r="C66" s="454" t="s">
        <v>1042</v>
      </c>
      <c r="D66" s="454" t="s">
        <v>1043</v>
      </c>
      <c r="E66" s="455" t="s">
        <v>1044</v>
      </c>
      <c r="F66" s="455" t="s">
        <v>19</v>
      </c>
      <c r="G66" s="455" t="s">
        <v>1045</v>
      </c>
      <c r="H66" s="456" t="s">
        <v>1046</v>
      </c>
      <c r="I66" s="451">
        <v>60432</v>
      </c>
      <c r="J66" s="451">
        <v>3021.6000000000004</v>
      </c>
      <c r="K66" s="451">
        <v>3021.6000000000004</v>
      </c>
      <c r="L66" s="451">
        <v>0</v>
      </c>
      <c r="M66" s="451">
        <v>0</v>
      </c>
      <c r="N66" s="451">
        <v>0</v>
      </c>
      <c r="O66" s="451">
        <f t="shared" si="11"/>
        <v>54388.800000000003</v>
      </c>
    </row>
    <row r="67" spans="1:16" s="228" customFormat="1" ht="24" customHeight="1" x14ac:dyDescent="0.2">
      <c r="A67" s="452">
        <v>34</v>
      </c>
      <c r="B67" s="453" t="s">
        <v>1060</v>
      </c>
      <c r="C67" s="454" t="s">
        <v>1061</v>
      </c>
      <c r="D67" s="454" t="s">
        <v>1062</v>
      </c>
      <c r="E67" s="455" t="s">
        <v>199</v>
      </c>
      <c r="F67" s="455" t="s">
        <v>19</v>
      </c>
      <c r="G67" s="455" t="s">
        <v>1063</v>
      </c>
      <c r="H67" s="456" t="s">
        <v>1064</v>
      </c>
      <c r="I67" s="451">
        <v>275000</v>
      </c>
      <c r="J67" s="451">
        <v>13750</v>
      </c>
      <c r="K67" s="451">
        <v>13750</v>
      </c>
      <c r="L67" s="451">
        <v>0</v>
      </c>
      <c r="M67" s="451">
        <v>0</v>
      </c>
      <c r="N67" s="451">
        <v>0</v>
      </c>
      <c r="O67" s="451">
        <f t="shared" si="11"/>
        <v>247500</v>
      </c>
    </row>
    <row r="68" spans="1:16" s="228" customFormat="1" ht="24" customHeight="1" x14ac:dyDescent="0.2">
      <c r="A68" s="452">
        <v>38</v>
      </c>
      <c r="B68" s="453" t="s">
        <v>1081</v>
      </c>
      <c r="C68" s="454" t="s">
        <v>1082</v>
      </c>
      <c r="D68" s="454" t="s">
        <v>1083</v>
      </c>
      <c r="E68" s="455" t="s">
        <v>963</v>
      </c>
      <c r="F68" s="455" t="s">
        <v>19</v>
      </c>
      <c r="G68" s="455" t="s">
        <v>369</v>
      </c>
      <c r="H68" s="456" t="s">
        <v>1084</v>
      </c>
      <c r="I68" s="451">
        <v>427500</v>
      </c>
      <c r="J68" s="451">
        <v>21375</v>
      </c>
      <c r="K68" s="451">
        <v>21375</v>
      </c>
      <c r="L68" s="451">
        <v>0</v>
      </c>
      <c r="M68" s="451">
        <v>0</v>
      </c>
      <c r="N68" s="451">
        <v>0</v>
      </c>
      <c r="O68" s="451">
        <f t="shared" si="11"/>
        <v>384750</v>
      </c>
    </row>
    <row r="69" spans="1:16" s="228" customFormat="1" ht="24" customHeight="1" x14ac:dyDescent="0.2">
      <c r="A69" s="452">
        <v>43</v>
      </c>
      <c r="B69" s="453" t="s">
        <v>1097</v>
      </c>
      <c r="C69" s="454" t="s">
        <v>1098</v>
      </c>
      <c r="D69" s="454" t="s">
        <v>1099</v>
      </c>
      <c r="E69" s="455" t="s">
        <v>963</v>
      </c>
      <c r="F69" s="455" t="s">
        <v>19</v>
      </c>
      <c r="G69" s="455" t="s">
        <v>964</v>
      </c>
      <c r="H69" s="456" t="s">
        <v>1100</v>
      </c>
      <c r="I69" s="451">
        <v>427500</v>
      </c>
      <c r="J69" s="451">
        <v>21375</v>
      </c>
      <c r="K69" s="451">
        <v>21375</v>
      </c>
      <c r="L69" s="451">
        <v>0</v>
      </c>
      <c r="M69" s="451">
        <v>0</v>
      </c>
      <c r="N69" s="451">
        <v>0</v>
      </c>
      <c r="O69" s="451">
        <f t="shared" si="11"/>
        <v>384750</v>
      </c>
    </row>
    <row r="70" spans="1:16" s="228" customFormat="1" ht="24" customHeight="1" x14ac:dyDescent="0.2">
      <c r="A70" s="452">
        <v>45</v>
      </c>
      <c r="B70" s="453" t="s">
        <v>1097</v>
      </c>
      <c r="C70" s="454" t="s">
        <v>1105</v>
      </c>
      <c r="D70" s="454" t="s">
        <v>1106</v>
      </c>
      <c r="E70" s="455" t="s">
        <v>1107</v>
      </c>
      <c r="F70" s="455" t="s">
        <v>19</v>
      </c>
      <c r="G70" s="455" t="s">
        <v>1103</v>
      </c>
      <c r="H70" s="456" t="s">
        <v>1108</v>
      </c>
      <c r="I70" s="451">
        <v>67415</v>
      </c>
      <c r="J70" s="451">
        <v>0</v>
      </c>
      <c r="K70" s="451">
        <v>0</v>
      </c>
      <c r="L70" s="451">
        <v>33707.5</v>
      </c>
      <c r="M70" s="451">
        <v>33707.5</v>
      </c>
      <c r="N70" s="451">
        <v>0</v>
      </c>
      <c r="O70" s="451">
        <f t="shared" si="11"/>
        <v>0</v>
      </c>
    </row>
    <row r="71" spans="1:16" ht="24" customHeight="1" x14ac:dyDescent="0.45">
      <c r="A71" s="452">
        <v>23</v>
      </c>
      <c r="B71" s="453" t="s">
        <v>1222</v>
      </c>
      <c r="C71" s="454" t="s">
        <v>1223</v>
      </c>
      <c r="D71" s="454" t="s">
        <v>1224</v>
      </c>
      <c r="E71" s="455" t="s">
        <v>963</v>
      </c>
      <c r="F71" s="455" t="s">
        <v>19</v>
      </c>
      <c r="G71" s="455" t="s">
        <v>964</v>
      </c>
      <c r="H71" s="456" t="s">
        <v>1225</v>
      </c>
      <c r="I71" s="451">
        <v>285000</v>
      </c>
      <c r="J71" s="451">
        <v>14250</v>
      </c>
      <c r="K71" s="451">
        <v>14250</v>
      </c>
      <c r="L71" s="451">
        <v>0</v>
      </c>
      <c r="M71" s="451">
        <v>0</v>
      </c>
      <c r="N71" s="451">
        <v>0</v>
      </c>
      <c r="O71" s="451">
        <f t="shared" si="11"/>
        <v>256500</v>
      </c>
      <c r="P71" s="228"/>
    </row>
    <row r="72" spans="1:16" ht="24" customHeight="1" x14ac:dyDescent="0.45">
      <c r="A72" s="465" t="s">
        <v>1067</v>
      </c>
      <c r="B72" s="466"/>
      <c r="C72" s="468"/>
      <c r="D72" s="468"/>
      <c r="E72" s="465"/>
      <c r="F72" s="465"/>
      <c r="G72" s="465"/>
      <c r="H72" s="469"/>
      <c r="I72" s="470">
        <f>SUM(I73:I99)</f>
        <v>5723880</v>
      </c>
      <c r="J72" s="470">
        <f t="shared" ref="J72:O72" si="12">SUM(J73:J99)</f>
        <v>270989</v>
      </c>
      <c r="K72" s="470">
        <f t="shared" si="12"/>
        <v>270989</v>
      </c>
      <c r="L72" s="470">
        <f t="shared" si="12"/>
        <v>0</v>
      </c>
      <c r="M72" s="470">
        <f t="shared" si="12"/>
        <v>0</v>
      </c>
      <c r="N72" s="470">
        <f t="shared" si="12"/>
        <v>0</v>
      </c>
      <c r="O72" s="470">
        <f t="shared" si="12"/>
        <v>5181902</v>
      </c>
      <c r="P72" s="228"/>
    </row>
    <row r="73" spans="1:16" s="228" customFormat="1" ht="24" customHeight="1" x14ac:dyDescent="0.2">
      <c r="A73" s="452">
        <v>35</v>
      </c>
      <c r="B73" s="453" t="s">
        <v>1060</v>
      </c>
      <c r="C73" s="454" t="s">
        <v>1065</v>
      </c>
      <c r="D73" s="454" t="s">
        <v>1066</v>
      </c>
      <c r="E73" s="455" t="s">
        <v>302</v>
      </c>
      <c r="F73" s="455" t="s">
        <v>1067</v>
      </c>
      <c r="G73" s="455" t="s">
        <v>908</v>
      </c>
      <c r="H73" s="456" t="s">
        <v>1068</v>
      </c>
      <c r="I73" s="451">
        <v>35210</v>
      </c>
      <c r="J73" s="451">
        <v>17605</v>
      </c>
      <c r="K73" s="451">
        <v>17605</v>
      </c>
      <c r="L73" s="451">
        <v>0</v>
      </c>
      <c r="M73" s="451">
        <v>0</v>
      </c>
      <c r="N73" s="451">
        <v>0</v>
      </c>
      <c r="O73" s="451">
        <f t="shared" ref="O73:O99" si="13">+I73-(SUM(J73:N73))</f>
        <v>0</v>
      </c>
    </row>
    <row r="74" spans="1:16" s="228" customFormat="1" ht="24" customHeight="1" x14ac:dyDescent="0.2">
      <c r="A74" s="452">
        <v>37</v>
      </c>
      <c r="B74" s="453" t="s">
        <v>1075</v>
      </c>
      <c r="C74" s="454" t="s">
        <v>1076</v>
      </c>
      <c r="D74" s="454" t="s">
        <v>1077</v>
      </c>
      <c r="E74" s="455" t="s">
        <v>1078</v>
      </c>
      <c r="F74" s="455" t="s">
        <v>1067</v>
      </c>
      <c r="G74" s="455" t="s">
        <v>1079</v>
      </c>
      <c r="H74" s="456" t="s">
        <v>1080</v>
      </c>
      <c r="I74" s="451">
        <v>300000</v>
      </c>
      <c r="J74" s="451">
        <v>0</v>
      </c>
      <c r="K74" s="451">
        <v>0</v>
      </c>
      <c r="L74" s="451">
        <v>0</v>
      </c>
      <c r="M74" s="451">
        <v>0</v>
      </c>
      <c r="N74" s="461" t="s">
        <v>311</v>
      </c>
      <c r="O74" s="451">
        <f t="shared" si="13"/>
        <v>300000</v>
      </c>
    </row>
    <row r="75" spans="1:16" s="228" customFormat="1" ht="24" customHeight="1" x14ac:dyDescent="0.2">
      <c r="A75" s="452">
        <v>1</v>
      </c>
      <c r="B75" s="453" t="s">
        <v>935</v>
      </c>
      <c r="C75" s="454" t="s">
        <v>936</v>
      </c>
      <c r="D75" s="454" t="s">
        <v>937</v>
      </c>
      <c r="E75" s="455" t="s">
        <v>115</v>
      </c>
      <c r="F75" s="455" t="s">
        <v>117</v>
      </c>
      <c r="G75" s="455" t="s">
        <v>444</v>
      </c>
      <c r="H75" s="456" t="s">
        <v>901</v>
      </c>
      <c r="I75" s="451">
        <f>39000+90000</f>
        <v>129000</v>
      </c>
      <c r="J75" s="451">
        <f>1950+4500</f>
        <v>6450</v>
      </c>
      <c r="K75" s="451">
        <f>1950+4500</f>
        <v>6450</v>
      </c>
      <c r="L75" s="451">
        <v>0</v>
      </c>
      <c r="M75" s="451">
        <v>0</v>
      </c>
      <c r="N75" s="451">
        <v>0</v>
      </c>
      <c r="O75" s="451">
        <f t="shared" si="13"/>
        <v>116100</v>
      </c>
    </row>
    <row r="76" spans="1:16" s="228" customFormat="1" ht="24" customHeight="1" x14ac:dyDescent="0.2">
      <c r="A76" s="452">
        <v>2</v>
      </c>
      <c r="B76" s="453" t="s">
        <v>938</v>
      </c>
      <c r="C76" s="454" t="s">
        <v>939</v>
      </c>
      <c r="D76" s="454" t="s">
        <v>940</v>
      </c>
      <c r="E76" s="455" t="s">
        <v>115</v>
      </c>
      <c r="F76" s="455" t="s">
        <v>117</v>
      </c>
      <c r="G76" s="455" t="s">
        <v>941</v>
      </c>
      <c r="H76" s="456" t="s">
        <v>901</v>
      </c>
      <c r="I76" s="451">
        <f>65000+134000</f>
        <v>199000</v>
      </c>
      <c r="J76" s="451">
        <f>6700+3250</f>
        <v>9950</v>
      </c>
      <c r="K76" s="451">
        <f>6700+3250</f>
        <v>9950</v>
      </c>
      <c r="L76" s="451">
        <v>0</v>
      </c>
      <c r="M76" s="451">
        <v>0</v>
      </c>
      <c r="N76" s="451">
        <v>0</v>
      </c>
      <c r="O76" s="451">
        <f t="shared" si="13"/>
        <v>179100</v>
      </c>
    </row>
    <row r="77" spans="1:16" s="228" customFormat="1" ht="24" customHeight="1" x14ac:dyDescent="0.2">
      <c r="A77" s="452">
        <v>3</v>
      </c>
      <c r="B77" s="453">
        <v>242465</v>
      </c>
      <c r="C77" s="454" t="s">
        <v>942</v>
      </c>
      <c r="D77" s="454" t="s">
        <v>943</v>
      </c>
      <c r="E77" s="455" t="s">
        <v>115</v>
      </c>
      <c r="F77" s="455" t="s">
        <v>117</v>
      </c>
      <c r="G77" s="455" t="s">
        <v>326</v>
      </c>
      <c r="H77" s="456" t="s">
        <v>901</v>
      </c>
      <c r="I77" s="451">
        <f>48000+12000</f>
        <v>60000</v>
      </c>
      <c r="J77" s="451">
        <f>600+2400</f>
        <v>3000</v>
      </c>
      <c r="K77" s="451">
        <f>600+2400</f>
        <v>3000</v>
      </c>
      <c r="L77" s="451">
        <v>0</v>
      </c>
      <c r="M77" s="451">
        <v>0</v>
      </c>
      <c r="N77" s="451">
        <v>0</v>
      </c>
      <c r="O77" s="451">
        <f t="shared" si="13"/>
        <v>54000</v>
      </c>
    </row>
    <row r="78" spans="1:16" s="228" customFormat="1" ht="24" customHeight="1" x14ac:dyDescent="0.2">
      <c r="A78" s="452">
        <v>4</v>
      </c>
      <c r="B78" s="453">
        <v>242465</v>
      </c>
      <c r="C78" s="454" t="s">
        <v>944</v>
      </c>
      <c r="D78" s="454" t="s">
        <v>945</v>
      </c>
      <c r="E78" s="455" t="s">
        <v>115</v>
      </c>
      <c r="F78" s="455" t="s">
        <v>117</v>
      </c>
      <c r="G78" s="455" t="s">
        <v>318</v>
      </c>
      <c r="H78" s="456" t="s">
        <v>946</v>
      </c>
      <c r="I78" s="451">
        <v>1250</v>
      </c>
      <c r="J78" s="451">
        <v>0</v>
      </c>
      <c r="K78" s="451">
        <v>0</v>
      </c>
      <c r="L78" s="451">
        <v>0</v>
      </c>
      <c r="M78" s="451">
        <v>0</v>
      </c>
      <c r="N78" s="461" t="s">
        <v>311</v>
      </c>
      <c r="O78" s="451">
        <f t="shared" si="13"/>
        <v>1250</v>
      </c>
    </row>
    <row r="79" spans="1:16" s="228" customFormat="1" ht="24" customHeight="1" x14ac:dyDescent="0.2">
      <c r="A79" s="452">
        <v>5</v>
      </c>
      <c r="B79" s="453">
        <v>242474</v>
      </c>
      <c r="C79" s="454" t="s">
        <v>947</v>
      </c>
      <c r="D79" s="454" t="s">
        <v>948</v>
      </c>
      <c r="E79" s="455" t="s">
        <v>115</v>
      </c>
      <c r="F79" s="455" t="s">
        <v>117</v>
      </c>
      <c r="G79" s="455" t="s">
        <v>278</v>
      </c>
      <c r="H79" s="456" t="s">
        <v>901</v>
      </c>
      <c r="I79" s="451">
        <f>25000+233000</f>
        <v>258000</v>
      </c>
      <c r="J79" s="451">
        <f>1250+11650</f>
        <v>12900</v>
      </c>
      <c r="K79" s="451">
        <f>1250+11650</f>
        <v>12900</v>
      </c>
      <c r="L79" s="451">
        <v>0</v>
      </c>
      <c r="M79" s="451">
        <v>0</v>
      </c>
      <c r="N79" s="451">
        <v>0</v>
      </c>
      <c r="O79" s="451">
        <f t="shared" si="13"/>
        <v>232200</v>
      </c>
    </row>
    <row r="80" spans="1:16" s="228" customFormat="1" ht="24" customHeight="1" x14ac:dyDescent="0.2">
      <c r="A80" s="452">
        <v>6</v>
      </c>
      <c r="B80" s="453" t="s">
        <v>949</v>
      </c>
      <c r="C80" s="454" t="s">
        <v>950</v>
      </c>
      <c r="D80" s="454" t="s">
        <v>951</v>
      </c>
      <c r="E80" s="455" t="s">
        <v>115</v>
      </c>
      <c r="F80" s="455" t="s">
        <v>117</v>
      </c>
      <c r="G80" s="455" t="s">
        <v>548</v>
      </c>
      <c r="H80" s="456" t="s">
        <v>901</v>
      </c>
      <c r="I80" s="451">
        <f>25000+556000</f>
        <v>581000</v>
      </c>
      <c r="J80" s="451">
        <f>1250+27800</f>
        <v>29050</v>
      </c>
      <c r="K80" s="451">
        <f>1250+27800</f>
        <v>29050</v>
      </c>
      <c r="L80" s="451">
        <v>0</v>
      </c>
      <c r="M80" s="451">
        <v>0</v>
      </c>
      <c r="N80" s="451">
        <v>0</v>
      </c>
      <c r="O80" s="451">
        <f t="shared" si="13"/>
        <v>522900</v>
      </c>
    </row>
    <row r="81" spans="1:16" s="228" customFormat="1" ht="24" customHeight="1" x14ac:dyDescent="0.2">
      <c r="A81" s="452">
        <v>7</v>
      </c>
      <c r="B81" s="453" t="s">
        <v>949</v>
      </c>
      <c r="C81" s="454" t="s">
        <v>952</v>
      </c>
      <c r="D81" s="454" t="s">
        <v>953</v>
      </c>
      <c r="E81" s="455" t="s">
        <v>115</v>
      </c>
      <c r="F81" s="455" t="s">
        <v>117</v>
      </c>
      <c r="G81" s="455" t="s">
        <v>303</v>
      </c>
      <c r="H81" s="456" t="s">
        <v>946</v>
      </c>
      <c r="I81" s="451">
        <f>850+1000</f>
        <v>1850</v>
      </c>
      <c r="J81" s="451">
        <v>0</v>
      </c>
      <c r="K81" s="451">
        <v>0</v>
      </c>
      <c r="L81" s="451">
        <v>0</v>
      </c>
      <c r="M81" s="451">
        <v>0</v>
      </c>
      <c r="N81" s="461" t="s">
        <v>311</v>
      </c>
      <c r="O81" s="451">
        <f t="shared" si="13"/>
        <v>1850</v>
      </c>
    </row>
    <row r="82" spans="1:16" s="228" customFormat="1" ht="24" customHeight="1" x14ac:dyDescent="0.2">
      <c r="A82" s="452">
        <v>11</v>
      </c>
      <c r="B82" s="453" t="s">
        <v>966</v>
      </c>
      <c r="C82" s="454" t="s">
        <v>972</v>
      </c>
      <c r="D82" s="454" t="s">
        <v>973</v>
      </c>
      <c r="E82" s="455" t="s">
        <v>115</v>
      </c>
      <c r="F82" s="455" t="s">
        <v>117</v>
      </c>
      <c r="G82" s="455" t="s">
        <v>441</v>
      </c>
      <c r="H82" s="456" t="s">
        <v>901</v>
      </c>
      <c r="I82" s="451">
        <v>75000</v>
      </c>
      <c r="J82" s="451">
        <v>3750</v>
      </c>
      <c r="K82" s="451">
        <v>3750</v>
      </c>
      <c r="L82" s="451">
        <v>0</v>
      </c>
      <c r="M82" s="451">
        <v>0</v>
      </c>
      <c r="N82" s="451">
        <v>0</v>
      </c>
      <c r="O82" s="451">
        <f t="shared" si="13"/>
        <v>67500</v>
      </c>
    </row>
    <row r="83" spans="1:16" s="228" customFormat="1" ht="24" customHeight="1" x14ac:dyDescent="0.2">
      <c r="A83" s="452">
        <v>12</v>
      </c>
      <c r="B83" s="453" t="s">
        <v>966</v>
      </c>
      <c r="C83" s="454" t="s">
        <v>974</v>
      </c>
      <c r="D83" s="454" t="s">
        <v>975</v>
      </c>
      <c r="E83" s="455" t="s">
        <v>115</v>
      </c>
      <c r="F83" s="455" t="s">
        <v>117</v>
      </c>
      <c r="G83" s="455" t="s">
        <v>318</v>
      </c>
      <c r="H83" s="456" t="s">
        <v>946</v>
      </c>
      <c r="I83" s="451">
        <v>1000</v>
      </c>
      <c r="J83" s="451">
        <v>0</v>
      </c>
      <c r="K83" s="451">
        <v>0</v>
      </c>
      <c r="L83" s="451">
        <v>0</v>
      </c>
      <c r="M83" s="451">
        <v>0</v>
      </c>
      <c r="N83" s="461" t="s">
        <v>311</v>
      </c>
      <c r="O83" s="451">
        <f t="shared" si="13"/>
        <v>1000</v>
      </c>
    </row>
    <row r="84" spans="1:16" s="228" customFormat="1" ht="24" customHeight="1" x14ac:dyDescent="0.2">
      <c r="A84" s="452">
        <v>13</v>
      </c>
      <c r="B84" s="453" t="s">
        <v>976</v>
      </c>
      <c r="C84" s="454" t="s">
        <v>977</v>
      </c>
      <c r="D84" s="454" t="s">
        <v>978</v>
      </c>
      <c r="E84" s="455" t="s">
        <v>115</v>
      </c>
      <c r="F84" s="455" t="s">
        <v>117</v>
      </c>
      <c r="G84" s="455" t="s">
        <v>441</v>
      </c>
      <c r="H84" s="456" t="s">
        <v>901</v>
      </c>
      <c r="I84" s="451">
        <v>45000</v>
      </c>
      <c r="J84" s="451">
        <v>2250</v>
      </c>
      <c r="K84" s="451">
        <v>2250</v>
      </c>
      <c r="L84" s="451">
        <v>0</v>
      </c>
      <c r="M84" s="451">
        <v>0</v>
      </c>
      <c r="N84" s="451">
        <v>0</v>
      </c>
      <c r="O84" s="451">
        <f t="shared" si="13"/>
        <v>40500</v>
      </c>
    </row>
    <row r="85" spans="1:16" s="214" customFormat="1" ht="24" customHeight="1" x14ac:dyDescent="0.2">
      <c r="A85" s="452">
        <v>14</v>
      </c>
      <c r="B85" s="453" t="s">
        <v>976</v>
      </c>
      <c r="C85" s="454" t="s">
        <v>979</v>
      </c>
      <c r="D85" s="454" t="s">
        <v>980</v>
      </c>
      <c r="E85" s="455" t="s">
        <v>115</v>
      </c>
      <c r="F85" s="455" t="s">
        <v>117</v>
      </c>
      <c r="G85" s="455" t="s">
        <v>441</v>
      </c>
      <c r="H85" s="456" t="s">
        <v>901</v>
      </c>
      <c r="I85" s="451">
        <v>60000</v>
      </c>
      <c r="J85" s="451">
        <v>3000</v>
      </c>
      <c r="K85" s="451">
        <v>3000</v>
      </c>
      <c r="L85" s="451">
        <v>0</v>
      </c>
      <c r="M85" s="451">
        <v>0</v>
      </c>
      <c r="N85" s="451">
        <v>0</v>
      </c>
      <c r="O85" s="451">
        <f t="shared" si="13"/>
        <v>54000</v>
      </c>
      <c r="P85" s="228"/>
    </row>
    <row r="86" spans="1:16" s="228" customFormat="1" ht="24" customHeight="1" x14ac:dyDescent="0.2">
      <c r="A86" s="452">
        <v>15</v>
      </c>
      <c r="B86" s="453" t="s">
        <v>981</v>
      </c>
      <c r="C86" s="454" t="s">
        <v>982</v>
      </c>
      <c r="D86" s="454" t="s">
        <v>983</v>
      </c>
      <c r="E86" s="455" t="s">
        <v>115</v>
      </c>
      <c r="F86" s="455" t="s">
        <v>117</v>
      </c>
      <c r="G86" s="455" t="s">
        <v>318</v>
      </c>
      <c r="H86" s="456" t="s">
        <v>901</v>
      </c>
      <c r="I86" s="451">
        <v>19000</v>
      </c>
      <c r="J86" s="451">
        <v>950</v>
      </c>
      <c r="K86" s="451">
        <v>950</v>
      </c>
      <c r="L86" s="451">
        <v>0</v>
      </c>
      <c r="M86" s="451">
        <v>0</v>
      </c>
      <c r="N86" s="451">
        <v>0</v>
      </c>
      <c r="O86" s="451">
        <f t="shared" si="13"/>
        <v>17100</v>
      </c>
    </row>
    <row r="87" spans="1:16" s="228" customFormat="1" ht="24" customHeight="1" x14ac:dyDescent="0.2">
      <c r="A87" s="452">
        <v>16</v>
      </c>
      <c r="B87" s="453" t="s">
        <v>984</v>
      </c>
      <c r="C87" s="454" t="s">
        <v>985</v>
      </c>
      <c r="D87" s="454" t="s">
        <v>986</v>
      </c>
      <c r="E87" s="455" t="s">
        <v>897</v>
      </c>
      <c r="F87" s="455" t="s">
        <v>117</v>
      </c>
      <c r="G87" s="455" t="s">
        <v>898</v>
      </c>
      <c r="H87" s="456" t="s">
        <v>987</v>
      </c>
      <c r="I87" s="451">
        <v>130680</v>
      </c>
      <c r="J87" s="451">
        <v>6534</v>
      </c>
      <c r="K87" s="451">
        <v>6534</v>
      </c>
      <c r="L87" s="451">
        <v>0</v>
      </c>
      <c r="M87" s="451">
        <v>0</v>
      </c>
      <c r="N87" s="451">
        <v>0</v>
      </c>
      <c r="O87" s="451">
        <f t="shared" si="13"/>
        <v>117612</v>
      </c>
    </row>
    <row r="88" spans="1:16" s="228" customFormat="1" ht="24" customHeight="1" x14ac:dyDescent="0.2">
      <c r="A88" s="452">
        <v>19</v>
      </c>
      <c r="B88" s="453" t="s">
        <v>994</v>
      </c>
      <c r="C88" s="454" t="s">
        <v>995</v>
      </c>
      <c r="D88" s="454" t="s">
        <v>996</v>
      </c>
      <c r="E88" s="455" t="s">
        <v>115</v>
      </c>
      <c r="F88" s="455" t="s">
        <v>117</v>
      </c>
      <c r="G88" s="455" t="s">
        <v>318</v>
      </c>
      <c r="H88" s="456" t="s">
        <v>901</v>
      </c>
      <c r="I88" s="451">
        <v>25000</v>
      </c>
      <c r="J88" s="451">
        <v>1250</v>
      </c>
      <c r="K88" s="451">
        <v>1250</v>
      </c>
      <c r="L88" s="451">
        <v>0</v>
      </c>
      <c r="M88" s="451">
        <v>0</v>
      </c>
      <c r="N88" s="451">
        <v>0</v>
      </c>
      <c r="O88" s="451">
        <f t="shared" si="13"/>
        <v>22500</v>
      </c>
    </row>
    <row r="89" spans="1:16" s="228" customFormat="1" ht="24" customHeight="1" x14ac:dyDescent="0.2">
      <c r="A89" s="452">
        <v>20</v>
      </c>
      <c r="B89" s="453" t="s">
        <v>997</v>
      </c>
      <c r="C89" s="454" t="s">
        <v>998</v>
      </c>
      <c r="D89" s="454" t="s">
        <v>999</v>
      </c>
      <c r="E89" s="455" t="s">
        <v>115</v>
      </c>
      <c r="F89" s="455" t="s">
        <v>117</v>
      </c>
      <c r="G89" s="455" t="s">
        <v>318</v>
      </c>
      <c r="H89" s="456" t="s">
        <v>901</v>
      </c>
      <c r="I89" s="451">
        <v>20000</v>
      </c>
      <c r="J89" s="451">
        <v>1000</v>
      </c>
      <c r="K89" s="451">
        <v>1000</v>
      </c>
      <c r="L89" s="451">
        <v>0</v>
      </c>
      <c r="M89" s="451">
        <v>0</v>
      </c>
      <c r="N89" s="451">
        <v>0</v>
      </c>
      <c r="O89" s="451">
        <f t="shared" si="13"/>
        <v>18000</v>
      </c>
    </row>
    <row r="90" spans="1:16" s="228" customFormat="1" ht="24" customHeight="1" x14ac:dyDescent="0.2">
      <c r="A90" s="452">
        <v>26</v>
      </c>
      <c r="B90" s="453" t="s">
        <v>1021</v>
      </c>
      <c r="C90" s="454" t="s">
        <v>1022</v>
      </c>
      <c r="D90" s="454" t="s">
        <v>1023</v>
      </c>
      <c r="E90" s="455" t="s">
        <v>302</v>
      </c>
      <c r="F90" s="455" t="s">
        <v>117</v>
      </c>
      <c r="G90" s="455" t="s">
        <v>303</v>
      </c>
      <c r="H90" s="456" t="s">
        <v>1024</v>
      </c>
      <c r="I90" s="451">
        <v>20000</v>
      </c>
      <c r="J90" s="451">
        <v>1000</v>
      </c>
      <c r="K90" s="451">
        <v>1000</v>
      </c>
      <c r="L90" s="451">
        <v>0</v>
      </c>
      <c r="M90" s="451">
        <v>0</v>
      </c>
      <c r="N90" s="451">
        <v>0</v>
      </c>
      <c r="O90" s="451">
        <f t="shared" si="13"/>
        <v>18000</v>
      </c>
    </row>
    <row r="91" spans="1:16" s="228" customFormat="1" ht="24" customHeight="1" x14ac:dyDescent="0.2">
      <c r="A91" s="452">
        <v>28</v>
      </c>
      <c r="B91" s="453" t="s">
        <v>1030</v>
      </c>
      <c r="C91" s="454" t="s">
        <v>1031</v>
      </c>
      <c r="D91" s="454" t="s">
        <v>1032</v>
      </c>
      <c r="E91" s="455" t="s">
        <v>1033</v>
      </c>
      <c r="F91" s="455" t="s">
        <v>117</v>
      </c>
      <c r="G91" s="455" t="s">
        <v>1034</v>
      </c>
      <c r="H91" s="456" t="s">
        <v>1035</v>
      </c>
      <c r="I91" s="451">
        <v>24000</v>
      </c>
      <c r="J91" s="451">
        <v>12000</v>
      </c>
      <c r="K91" s="451">
        <v>12000</v>
      </c>
      <c r="L91" s="451">
        <v>0</v>
      </c>
      <c r="M91" s="451">
        <v>0</v>
      </c>
      <c r="N91" s="451">
        <v>0</v>
      </c>
      <c r="O91" s="451">
        <f t="shared" si="13"/>
        <v>0</v>
      </c>
    </row>
    <row r="92" spans="1:16" s="228" customFormat="1" ht="24" customHeight="1" x14ac:dyDescent="0.2">
      <c r="A92" s="452">
        <v>33</v>
      </c>
      <c r="B92" s="453" t="s">
        <v>1057</v>
      </c>
      <c r="C92" s="454" t="s">
        <v>1058</v>
      </c>
      <c r="D92" s="454" t="s">
        <v>1059</v>
      </c>
      <c r="E92" s="455" t="s">
        <v>115</v>
      </c>
      <c r="F92" s="455" t="s">
        <v>117</v>
      </c>
      <c r="G92" s="455" t="s">
        <v>318</v>
      </c>
      <c r="H92" s="456" t="s">
        <v>901</v>
      </c>
      <c r="I92" s="451">
        <v>20000</v>
      </c>
      <c r="J92" s="451">
        <v>1000</v>
      </c>
      <c r="K92" s="451">
        <v>1000</v>
      </c>
      <c r="L92" s="451">
        <v>0</v>
      </c>
      <c r="M92" s="451">
        <v>0</v>
      </c>
      <c r="N92" s="451">
        <v>0</v>
      </c>
      <c r="O92" s="451">
        <f t="shared" si="13"/>
        <v>18000</v>
      </c>
    </row>
    <row r="93" spans="1:16" s="228" customFormat="1" ht="24" customHeight="1" x14ac:dyDescent="0.2">
      <c r="A93" s="452">
        <v>40</v>
      </c>
      <c r="B93" s="453" t="s">
        <v>1090</v>
      </c>
      <c r="C93" s="454" t="s">
        <v>1091</v>
      </c>
      <c r="D93" s="454" t="s">
        <v>1092</v>
      </c>
      <c r="E93" s="455" t="s">
        <v>115</v>
      </c>
      <c r="F93" s="455" t="s">
        <v>117</v>
      </c>
      <c r="G93" s="455" t="s">
        <v>318</v>
      </c>
      <c r="H93" s="456" t="s">
        <v>901</v>
      </c>
      <c r="I93" s="451">
        <v>25000</v>
      </c>
      <c r="J93" s="451">
        <v>1250</v>
      </c>
      <c r="K93" s="451">
        <v>1250</v>
      </c>
      <c r="L93" s="451">
        <v>0</v>
      </c>
      <c r="M93" s="451">
        <v>0</v>
      </c>
      <c r="N93" s="451">
        <v>0</v>
      </c>
      <c r="O93" s="451">
        <f t="shared" si="13"/>
        <v>22500</v>
      </c>
    </row>
    <row r="94" spans="1:16" s="228" customFormat="1" ht="24" customHeight="1" x14ac:dyDescent="0.2">
      <c r="A94" s="452">
        <v>41</v>
      </c>
      <c r="B94" s="453" t="s">
        <v>1093</v>
      </c>
      <c r="C94" s="454" t="s">
        <v>1094</v>
      </c>
      <c r="D94" s="454" t="s">
        <v>1095</v>
      </c>
      <c r="E94" s="455" t="s">
        <v>115</v>
      </c>
      <c r="F94" s="455" t="s">
        <v>117</v>
      </c>
      <c r="G94" s="455" t="s">
        <v>941</v>
      </c>
      <c r="H94" s="456" t="s">
        <v>901</v>
      </c>
      <c r="I94" s="451">
        <v>80000</v>
      </c>
      <c r="J94" s="451">
        <v>4000</v>
      </c>
      <c r="K94" s="451">
        <v>4000</v>
      </c>
      <c r="L94" s="451">
        <v>0</v>
      </c>
      <c r="M94" s="451">
        <v>0</v>
      </c>
      <c r="N94" s="451">
        <v>0</v>
      </c>
      <c r="O94" s="451">
        <f t="shared" si="13"/>
        <v>72000</v>
      </c>
    </row>
    <row r="95" spans="1:16" s="228" customFormat="1" ht="24" customHeight="1" x14ac:dyDescent="0.2">
      <c r="A95" s="452">
        <v>42</v>
      </c>
      <c r="B95" s="453" t="s">
        <v>1096</v>
      </c>
      <c r="C95" s="454" t="s">
        <v>1094</v>
      </c>
      <c r="D95" s="454" t="s">
        <v>1095</v>
      </c>
      <c r="E95" s="455" t="s">
        <v>115</v>
      </c>
      <c r="F95" s="455" t="s">
        <v>117</v>
      </c>
      <c r="G95" s="455" t="s">
        <v>295</v>
      </c>
      <c r="H95" s="456" t="s">
        <v>901</v>
      </c>
      <c r="I95" s="451">
        <v>431000</v>
      </c>
      <c r="J95" s="451">
        <v>21550</v>
      </c>
      <c r="K95" s="451">
        <v>21550</v>
      </c>
      <c r="L95" s="451">
        <v>0</v>
      </c>
      <c r="M95" s="451">
        <v>0</v>
      </c>
      <c r="N95" s="451">
        <v>0</v>
      </c>
      <c r="O95" s="451">
        <f t="shared" si="13"/>
        <v>387900</v>
      </c>
    </row>
    <row r="96" spans="1:16" s="228" customFormat="1" ht="24" customHeight="1" x14ac:dyDescent="0.2">
      <c r="A96" s="452">
        <v>46</v>
      </c>
      <c r="B96" s="453" t="s">
        <v>1097</v>
      </c>
      <c r="C96" s="460" t="s">
        <v>1109</v>
      </c>
      <c r="D96" s="454" t="s">
        <v>1110</v>
      </c>
      <c r="E96" s="455" t="s">
        <v>115</v>
      </c>
      <c r="F96" s="455" t="s">
        <v>117</v>
      </c>
      <c r="G96" s="455" t="s">
        <v>1111</v>
      </c>
      <c r="H96" s="456" t="s">
        <v>901</v>
      </c>
      <c r="I96" s="451">
        <v>2625000</v>
      </c>
      <c r="J96" s="451">
        <v>131250</v>
      </c>
      <c r="K96" s="451">
        <v>131250</v>
      </c>
      <c r="L96" s="451">
        <v>0</v>
      </c>
      <c r="M96" s="451">
        <v>0</v>
      </c>
      <c r="N96" s="451">
        <v>0</v>
      </c>
      <c r="O96" s="451">
        <f t="shared" si="13"/>
        <v>2362500</v>
      </c>
    </row>
    <row r="97" spans="1:15" s="228" customFormat="1" ht="24" customHeight="1" x14ac:dyDescent="0.2">
      <c r="A97" s="452">
        <v>47</v>
      </c>
      <c r="B97" s="453" t="s">
        <v>1097</v>
      </c>
      <c r="C97" s="460" t="s">
        <v>1109</v>
      </c>
      <c r="D97" s="454" t="s">
        <v>1112</v>
      </c>
      <c r="E97" s="455" t="s">
        <v>302</v>
      </c>
      <c r="F97" s="455" t="s">
        <v>117</v>
      </c>
      <c r="G97" s="455" t="s">
        <v>318</v>
      </c>
      <c r="H97" s="456" t="s">
        <v>1113</v>
      </c>
      <c r="I97" s="451">
        <v>25000</v>
      </c>
      <c r="J97" s="451">
        <v>1250</v>
      </c>
      <c r="K97" s="451">
        <v>1250</v>
      </c>
      <c r="L97" s="451">
        <v>0</v>
      </c>
      <c r="M97" s="451">
        <v>0</v>
      </c>
      <c r="N97" s="451">
        <v>0</v>
      </c>
      <c r="O97" s="451">
        <f t="shared" si="13"/>
        <v>22500</v>
      </c>
    </row>
    <row r="98" spans="1:15" s="228" customFormat="1" ht="24" customHeight="1" x14ac:dyDescent="0.2">
      <c r="A98" s="452">
        <v>50</v>
      </c>
      <c r="B98" s="453">
        <v>242796</v>
      </c>
      <c r="C98" s="458" t="s">
        <v>932</v>
      </c>
      <c r="D98" s="454" t="s">
        <v>933</v>
      </c>
      <c r="E98" s="455" t="s">
        <v>1033</v>
      </c>
      <c r="F98" s="455" t="s">
        <v>117</v>
      </c>
      <c r="G98" s="455" t="s">
        <v>1034</v>
      </c>
      <c r="H98" s="456" t="s">
        <v>1120</v>
      </c>
      <c r="I98" s="451">
        <v>216000</v>
      </c>
      <c r="J98" s="451">
        <v>0</v>
      </c>
      <c r="K98" s="451">
        <v>0</v>
      </c>
      <c r="L98" s="451">
        <v>0</v>
      </c>
      <c r="M98" s="451">
        <v>0</v>
      </c>
      <c r="N98" s="451">
        <v>0</v>
      </c>
      <c r="O98" s="451">
        <f t="shared" si="13"/>
        <v>216000</v>
      </c>
    </row>
    <row r="99" spans="1:15" s="228" customFormat="1" ht="24" customHeight="1" x14ac:dyDescent="0.2">
      <c r="A99" s="452">
        <v>51</v>
      </c>
      <c r="B99" s="453">
        <v>242796</v>
      </c>
      <c r="C99" s="458" t="s">
        <v>932</v>
      </c>
      <c r="D99" s="454" t="s">
        <v>933</v>
      </c>
      <c r="E99" s="455" t="s">
        <v>302</v>
      </c>
      <c r="F99" s="455" t="s">
        <v>117</v>
      </c>
      <c r="G99" s="455" t="s">
        <v>1121</v>
      </c>
      <c r="H99" s="456" t="s">
        <v>1122</v>
      </c>
      <c r="I99" s="451">
        <v>316890</v>
      </c>
      <c r="J99" s="451">
        <v>0</v>
      </c>
      <c r="K99" s="451">
        <v>0</v>
      </c>
      <c r="L99" s="451">
        <v>0</v>
      </c>
      <c r="M99" s="451">
        <v>0</v>
      </c>
      <c r="N99" s="451">
        <v>0</v>
      </c>
      <c r="O99" s="451">
        <f t="shared" si="13"/>
        <v>316890</v>
      </c>
    </row>
    <row r="100" spans="1:15" s="228" customFormat="1" ht="24" customHeight="1" x14ac:dyDescent="0.2">
      <c r="A100" s="465" t="s">
        <v>152</v>
      </c>
      <c r="B100" s="466"/>
      <c r="C100" s="467"/>
      <c r="D100" s="468"/>
      <c r="E100" s="465"/>
      <c r="F100" s="465"/>
      <c r="G100" s="465"/>
      <c r="H100" s="469"/>
      <c r="I100" s="470">
        <f>SUM(I101:I107)</f>
        <v>8900000</v>
      </c>
      <c r="J100" s="470">
        <f t="shared" ref="J100:O100" si="14">SUM(J101:J107)</f>
        <v>100000</v>
      </c>
      <c r="K100" s="470">
        <f t="shared" si="14"/>
        <v>100000</v>
      </c>
      <c r="L100" s="470">
        <f t="shared" si="14"/>
        <v>40000</v>
      </c>
      <c r="M100" s="470">
        <f t="shared" si="14"/>
        <v>40000</v>
      </c>
      <c r="N100" s="470">
        <f t="shared" si="14"/>
        <v>0</v>
      </c>
      <c r="O100" s="470">
        <f t="shared" si="14"/>
        <v>8620000</v>
      </c>
    </row>
    <row r="101" spans="1:15" s="228" customFormat="1" ht="24" customHeight="1" x14ac:dyDescent="0.2">
      <c r="A101" s="452">
        <v>9</v>
      </c>
      <c r="B101" s="453" t="s">
        <v>1164</v>
      </c>
      <c r="C101" s="454" t="s">
        <v>1165</v>
      </c>
      <c r="D101" s="454" t="s">
        <v>1166</v>
      </c>
      <c r="E101" s="455" t="s">
        <v>1167</v>
      </c>
      <c r="F101" s="455" t="s">
        <v>1168</v>
      </c>
      <c r="G101" s="455" t="s">
        <v>1169</v>
      </c>
      <c r="H101" s="456" t="s">
        <v>1170</v>
      </c>
      <c r="I101" s="451">
        <v>320000</v>
      </c>
      <c r="J101" s="451">
        <v>0</v>
      </c>
      <c r="K101" s="451">
        <v>0</v>
      </c>
      <c r="L101" s="451">
        <v>40000</v>
      </c>
      <c r="M101" s="451">
        <v>40000</v>
      </c>
      <c r="N101" s="451">
        <v>0</v>
      </c>
      <c r="O101" s="451">
        <f t="shared" ref="O101:O107" si="15">+I101-(SUM(J101:N101))</f>
        <v>240000</v>
      </c>
    </row>
    <row r="102" spans="1:15" s="228" customFormat="1" ht="24" customHeight="1" x14ac:dyDescent="0.2">
      <c r="A102" s="452">
        <v>16</v>
      </c>
      <c r="B102" s="453" t="s">
        <v>1194</v>
      </c>
      <c r="C102" s="454" t="s">
        <v>1200</v>
      </c>
      <c r="D102" s="454" t="s">
        <v>1201</v>
      </c>
      <c r="E102" s="455" t="s">
        <v>1202</v>
      </c>
      <c r="F102" s="455" t="s">
        <v>1203</v>
      </c>
      <c r="G102" s="455" t="s">
        <v>1204</v>
      </c>
      <c r="H102" s="456" t="s">
        <v>1205</v>
      </c>
      <c r="I102" s="451">
        <v>700000</v>
      </c>
      <c r="J102" s="451">
        <v>35000</v>
      </c>
      <c r="K102" s="451">
        <v>35000</v>
      </c>
      <c r="L102" s="451">
        <v>0</v>
      </c>
      <c r="M102" s="451">
        <v>0</v>
      </c>
      <c r="N102" s="451">
        <v>0</v>
      </c>
      <c r="O102" s="451">
        <f t="shared" si="15"/>
        <v>630000</v>
      </c>
    </row>
    <row r="103" spans="1:15" s="228" customFormat="1" ht="24" customHeight="1" x14ac:dyDescent="0.2">
      <c r="A103" s="452">
        <v>17</v>
      </c>
      <c r="B103" s="453" t="s">
        <v>1194</v>
      </c>
      <c r="C103" s="454" t="s">
        <v>1200</v>
      </c>
      <c r="D103" s="454" t="s">
        <v>1201</v>
      </c>
      <c r="E103" s="455" t="s">
        <v>1206</v>
      </c>
      <c r="F103" s="455" t="s">
        <v>1203</v>
      </c>
      <c r="G103" s="455" t="s">
        <v>1204</v>
      </c>
      <c r="H103" s="456" t="s">
        <v>1207</v>
      </c>
      <c r="I103" s="451">
        <v>430000</v>
      </c>
      <c r="J103" s="451">
        <v>21500</v>
      </c>
      <c r="K103" s="451">
        <v>21500</v>
      </c>
      <c r="L103" s="451">
        <v>0</v>
      </c>
      <c r="M103" s="451">
        <v>0</v>
      </c>
      <c r="N103" s="451">
        <v>0</v>
      </c>
      <c r="O103" s="451">
        <f t="shared" si="15"/>
        <v>387000</v>
      </c>
    </row>
    <row r="104" spans="1:15" s="228" customFormat="1" ht="24" customHeight="1" x14ac:dyDescent="0.2">
      <c r="A104" s="452">
        <v>18</v>
      </c>
      <c r="B104" s="453" t="s">
        <v>1194</v>
      </c>
      <c r="C104" s="454" t="s">
        <v>1200</v>
      </c>
      <c r="D104" s="454" t="s">
        <v>1201</v>
      </c>
      <c r="E104" s="455" t="s">
        <v>963</v>
      </c>
      <c r="F104" s="455" t="s">
        <v>1203</v>
      </c>
      <c r="G104" s="455" t="s">
        <v>1204</v>
      </c>
      <c r="H104" s="456" t="s">
        <v>1208</v>
      </c>
      <c r="I104" s="451">
        <v>440000</v>
      </c>
      <c r="J104" s="451">
        <v>22000</v>
      </c>
      <c r="K104" s="451">
        <v>22000</v>
      </c>
      <c r="L104" s="451">
        <v>0</v>
      </c>
      <c r="M104" s="451">
        <v>0</v>
      </c>
      <c r="N104" s="451">
        <v>0</v>
      </c>
      <c r="O104" s="451">
        <f t="shared" si="15"/>
        <v>396000</v>
      </c>
    </row>
    <row r="105" spans="1:15" s="228" customFormat="1" ht="24" customHeight="1" x14ac:dyDescent="0.2">
      <c r="A105" s="452">
        <v>19</v>
      </c>
      <c r="B105" s="453" t="s">
        <v>1194</v>
      </c>
      <c r="C105" s="454" t="s">
        <v>1200</v>
      </c>
      <c r="D105" s="454" t="s">
        <v>1201</v>
      </c>
      <c r="E105" s="455" t="s">
        <v>1209</v>
      </c>
      <c r="F105" s="455" t="s">
        <v>1203</v>
      </c>
      <c r="G105" s="455" t="s">
        <v>1204</v>
      </c>
      <c r="H105" s="456" t="s">
        <v>1210</v>
      </c>
      <c r="I105" s="451">
        <v>430000</v>
      </c>
      <c r="J105" s="451">
        <v>21500</v>
      </c>
      <c r="K105" s="451">
        <v>21500</v>
      </c>
      <c r="L105" s="451">
        <v>0</v>
      </c>
      <c r="M105" s="451">
        <v>0</v>
      </c>
      <c r="N105" s="451">
        <v>0</v>
      </c>
      <c r="O105" s="451">
        <f t="shared" si="15"/>
        <v>387000</v>
      </c>
    </row>
    <row r="106" spans="1:15" s="228" customFormat="1" ht="24" customHeight="1" x14ac:dyDescent="0.2">
      <c r="A106" s="452">
        <v>30</v>
      </c>
      <c r="B106" s="453" t="s">
        <v>926</v>
      </c>
      <c r="C106" s="454" t="s">
        <v>1249</v>
      </c>
      <c r="D106" s="454" t="s">
        <v>1250</v>
      </c>
      <c r="E106" s="455" t="s">
        <v>1251</v>
      </c>
      <c r="F106" s="455" t="s">
        <v>1252</v>
      </c>
      <c r="G106" s="455" t="s">
        <v>1253</v>
      </c>
      <c r="H106" s="456" t="s">
        <v>1254</v>
      </c>
      <c r="I106" s="451">
        <v>4216000</v>
      </c>
      <c r="J106" s="451">
        <v>0</v>
      </c>
      <c r="K106" s="451">
        <v>0</v>
      </c>
      <c r="L106" s="451">
        <v>0</v>
      </c>
      <c r="M106" s="451">
        <v>0</v>
      </c>
      <c r="N106" s="457" t="s">
        <v>1255</v>
      </c>
      <c r="O106" s="451">
        <f t="shared" si="15"/>
        <v>4216000</v>
      </c>
    </row>
    <row r="107" spans="1:15" s="228" customFormat="1" ht="24" customHeight="1" x14ac:dyDescent="0.2">
      <c r="A107" s="452">
        <v>42</v>
      </c>
      <c r="B107" s="453">
        <v>242796</v>
      </c>
      <c r="C107" s="458" t="s">
        <v>932</v>
      </c>
      <c r="D107" s="454" t="s">
        <v>933</v>
      </c>
      <c r="E107" s="455" t="s">
        <v>1251</v>
      </c>
      <c r="F107" s="455" t="s">
        <v>1252</v>
      </c>
      <c r="G107" s="455" t="s">
        <v>1253</v>
      </c>
      <c r="H107" s="459" t="s">
        <v>1284</v>
      </c>
      <c r="I107" s="451">
        <v>2364000</v>
      </c>
      <c r="J107" s="451">
        <v>0</v>
      </c>
      <c r="K107" s="451">
        <v>0</v>
      </c>
      <c r="L107" s="451">
        <v>0</v>
      </c>
      <c r="M107" s="451">
        <v>0</v>
      </c>
      <c r="N107" s="451">
        <v>0</v>
      </c>
      <c r="O107" s="451">
        <f t="shared" si="15"/>
        <v>2364000</v>
      </c>
    </row>
    <row r="108" spans="1:15" s="228" customFormat="1" ht="24" customHeight="1" x14ac:dyDescent="0.2">
      <c r="A108" s="465" t="s">
        <v>923</v>
      </c>
      <c r="B108" s="466"/>
      <c r="C108" s="467"/>
      <c r="D108" s="468"/>
      <c r="E108" s="465"/>
      <c r="F108" s="465"/>
      <c r="G108" s="465"/>
      <c r="H108" s="471"/>
      <c r="I108" s="470">
        <f>SUM(I109:I111)</f>
        <v>530115</v>
      </c>
      <c r="J108" s="470">
        <f t="shared" ref="J108:O108" si="16">SUM(J109:J111)</f>
        <v>26505.75</v>
      </c>
      <c r="K108" s="470">
        <f t="shared" si="16"/>
        <v>26505.75</v>
      </c>
      <c r="L108" s="470">
        <f t="shared" si="16"/>
        <v>0</v>
      </c>
      <c r="M108" s="470">
        <f t="shared" si="16"/>
        <v>0</v>
      </c>
      <c r="N108" s="470">
        <f t="shared" si="16"/>
        <v>0</v>
      </c>
      <c r="O108" s="470">
        <f t="shared" si="16"/>
        <v>477103.5</v>
      </c>
    </row>
    <row r="109" spans="1:15" s="228" customFormat="1" ht="24" customHeight="1" x14ac:dyDescent="0.2">
      <c r="A109" s="452">
        <v>1</v>
      </c>
      <c r="B109" s="453" t="s">
        <v>920</v>
      </c>
      <c r="C109" s="454" t="s">
        <v>921</v>
      </c>
      <c r="D109" s="454" t="s">
        <v>922</v>
      </c>
      <c r="E109" s="455" t="s">
        <v>529</v>
      </c>
      <c r="F109" s="455" t="s">
        <v>923</v>
      </c>
      <c r="G109" s="455" t="s">
        <v>924</v>
      </c>
      <c r="H109" s="456" t="s">
        <v>925</v>
      </c>
      <c r="I109" s="451">
        <v>20000</v>
      </c>
      <c r="J109" s="451">
        <v>10000</v>
      </c>
      <c r="K109" s="451">
        <v>10000</v>
      </c>
      <c r="L109" s="451">
        <v>0</v>
      </c>
      <c r="M109" s="451">
        <v>0</v>
      </c>
      <c r="N109" s="451">
        <v>0</v>
      </c>
      <c r="O109" s="451">
        <f>+I109-(SUM(J109:N109))</f>
        <v>0</v>
      </c>
    </row>
    <row r="110" spans="1:15" s="228" customFormat="1" ht="24" customHeight="1" x14ac:dyDescent="0.2">
      <c r="A110" s="452">
        <v>2</v>
      </c>
      <c r="B110" s="453" t="s">
        <v>926</v>
      </c>
      <c r="C110" s="454" t="s">
        <v>927</v>
      </c>
      <c r="D110" s="454" t="s">
        <v>928</v>
      </c>
      <c r="E110" s="455" t="s">
        <v>929</v>
      </c>
      <c r="F110" s="455" t="s">
        <v>923</v>
      </c>
      <c r="G110" s="455" t="s">
        <v>930</v>
      </c>
      <c r="H110" s="456" t="s">
        <v>931</v>
      </c>
      <c r="I110" s="451">
        <v>330115</v>
      </c>
      <c r="J110" s="451">
        <v>16505.75</v>
      </c>
      <c r="K110" s="451">
        <v>16505.75</v>
      </c>
      <c r="L110" s="451">
        <v>0</v>
      </c>
      <c r="M110" s="451">
        <v>0</v>
      </c>
      <c r="N110" s="451">
        <v>0</v>
      </c>
      <c r="O110" s="451">
        <f>+I110-(SUM(J110:N110))</f>
        <v>297103.5</v>
      </c>
    </row>
    <row r="111" spans="1:15" s="228" customFormat="1" ht="24" customHeight="1" x14ac:dyDescent="0.2">
      <c r="A111" s="452">
        <v>3</v>
      </c>
      <c r="B111" s="453">
        <v>242796</v>
      </c>
      <c r="C111" s="458" t="s">
        <v>932</v>
      </c>
      <c r="D111" s="454" t="s">
        <v>933</v>
      </c>
      <c r="E111" s="455" t="s">
        <v>529</v>
      </c>
      <c r="F111" s="455" t="s">
        <v>923</v>
      </c>
      <c r="G111" s="455" t="s">
        <v>924</v>
      </c>
      <c r="H111" s="456" t="s">
        <v>934</v>
      </c>
      <c r="I111" s="451">
        <v>180000</v>
      </c>
      <c r="J111" s="451">
        <v>0</v>
      </c>
      <c r="K111" s="451">
        <v>0</v>
      </c>
      <c r="L111" s="451">
        <v>0</v>
      </c>
      <c r="M111" s="451">
        <v>0</v>
      </c>
      <c r="N111" s="451">
        <v>0</v>
      </c>
      <c r="O111" s="451">
        <f>+I111-(SUM(J111:N111))</f>
        <v>180000</v>
      </c>
    </row>
    <row r="112" spans="1:15" s="228" customFormat="1" ht="24" customHeight="1" x14ac:dyDescent="0.2">
      <c r="A112" s="465" t="s">
        <v>1133</v>
      </c>
      <c r="B112" s="466"/>
      <c r="C112" s="467"/>
      <c r="D112" s="468"/>
      <c r="E112" s="465"/>
      <c r="F112" s="465"/>
      <c r="G112" s="465"/>
      <c r="H112" s="469"/>
      <c r="I112" s="470">
        <f>SUM(I113:I114)</f>
        <v>1504492</v>
      </c>
      <c r="J112" s="470">
        <f t="shared" ref="J112:O112" si="17">SUM(J113:J114)</f>
        <v>75224.600000000006</v>
      </c>
      <c r="K112" s="470">
        <f t="shared" si="17"/>
        <v>75224.600000000006</v>
      </c>
      <c r="L112" s="470">
        <f t="shared" si="17"/>
        <v>0</v>
      </c>
      <c r="M112" s="470">
        <f t="shared" si="17"/>
        <v>0</v>
      </c>
      <c r="N112" s="470">
        <f t="shared" si="17"/>
        <v>0</v>
      </c>
      <c r="O112" s="470">
        <f t="shared" si="17"/>
        <v>1354042.8</v>
      </c>
    </row>
    <row r="113" spans="1:15" s="228" customFormat="1" ht="24" customHeight="1" x14ac:dyDescent="0.2">
      <c r="A113" s="452">
        <v>2</v>
      </c>
      <c r="B113" s="453" t="s">
        <v>1129</v>
      </c>
      <c r="C113" s="454" t="s">
        <v>1130</v>
      </c>
      <c r="D113" s="454" t="s">
        <v>1131</v>
      </c>
      <c r="E113" s="455" t="s">
        <v>1132</v>
      </c>
      <c r="F113" s="455" t="s">
        <v>1133</v>
      </c>
      <c r="G113" s="455" t="s">
        <v>1134</v>
      </c>
      <c r="H113" s="456" t="s">
        <v>1135</v>
      </c>
      <c r="I113" s="451">
        <v>150449.20000000001</v>
      </c>
      <c r="J113" s="451">
        <v>75224.600000000006</v>
      </c>
      <c r="K113" s="451">
        <v>75224.600000000006</v>
      </c>
      <c r="L113" s="451">
        <v>0</v>
      </c>
      <c r="M113" s="451">
        <v>0</v>
      </c>
      <c r="N113" s="451">
        <v>0</v>
      </c>
      <c r="O113" s="451">
        <f>+I113-(SUM(J113:N113))</f>
        <v>0</v>
      </c>
    </row>
    <row r="114" spans="1:15" s="228" customFormat="1" ht="24" customHeight="1" x14ac:dyDescent="0.2">
      <c r="A114" s="452">
        <v>38</v>
      </c>
      <c r="B114" s="453">
        <v>242796</v>
      </c>
      <c r="C114" s="458" t="s">
        <v>932</v>
      </c>
      <c r="D114" s="454" t="s">
        <v>933</v>
      </c>
      <c r="E114" s="455" t="s">
        <v>1132</v>
      </c>
      <c r="F114" s="455" t="s">
        <v>1133</v>
      </c>
      <c r="G114" s="455" t="s">
        <v>1134</v>
      </c>
      <c r="H114" s="459" t="s">
        <v>1280</v>
      </c>
      <c r="I114" s="451">
        <v>1354042.8</v>
      </c>
      <c r="J114" s="451">
        <v>0</v>
      </c>
      <c r="K114" s="451">
        <v>0</v>
      </c>
      <c r="L114" s="451">
        <v>0</v>
      </c>
      <c r="M114" s="451">
        <v>0</v>
      </c>
      <c r="N114" s="451">
        <v>0</v>
      </c>
      <c r="O114" s="451">
        <f>+I114-(SUM(J114:N114))</f>
        <v>1354042.8</v>
      </c>
    </row>
    <row r="115" spans="1:15" s="243" customFormat="1" ht="20.100000000000001" customHeight="1" thickBot="1" x14ac:dyDescent="0.25">
      <c r="A115" s="559" t="s">
        <v>1919</v>
      </c>
      <c r="B115" s="559"/>
      <c r="C115" s="559"/>
      <c r="D115" s="559"/>
      <c r="E115" s="559"/>
      <c r="F115" s="559"/>
      <c r="G115" s="559"/>
      <c r="H115" s="559"/>
      <c r="I115" s="477">
        <f>SUM(I8+I15+I18+I27+I36+I55+I57+I72+I100+I108+I112)</f>
        <v>29949070.460000001</v>
      </c>
      <c r="J115" s="477">
        <f t="shared" ref="J115:O115" si="18">SUM(J8+J15+J18+J27+J36+J55+J57+J72+J100+J108+J112)</f>
        <v>871812.13</v>
      </c>
      <c r="K115" s="477">
        <f t="shared" si="18"/>
        <v>871812.13</v>
      </c>
      <c r="L115" s="477">
        <f t="shared" si="18"/>
        <v>280213.75</v>
      </c>
      <c r="M115" s="477">
        <f t="shared" si="18"/>
        <v>280213.75</v>
      </c>
      <c r="N115" s="477">
        <f t="shared" si="18"/>
        <v>0</v>
      </c>
      <c r="O115" s="477">
        <f t="shared" si="18"/>
        <v>27645018.699999999</v>
      </c>
    </row>
    <row r="116" spans="1:15" ht="20.25" thickTop="1" x14ac:dyDescent="0.45"/>
    <row r="117" spans="1:15" x14ac:dyDescent="0.45">
      <c r="J117" s="248"/>
      <c r="K117" s="248"/>
      <c r="L117" s="248"/>
      <c r="M117" s="248"/>
      <c r="N117" s="248"/>
      <c r="O117" s="248"/>
    </row>
    <row r="119" spans="1:15" x14ac:dyDescent="0.45">
      <c r="J119" s="248"/>
      <c r="K119" s="248"/>
      <c r="L119" s="248"/>
      <c r="M119" s="248"/>
      <c r="N119" s="248"/>
      <c r="O119" s="248"/>
    </row>
    <row r="183" spans="1:16" ht="21.75" x14ac:dyDescent="0.45">
      <c r="A183" s="555" t="s">
        <v>517</v>
      </c>
      <c r="B183" s="555"/>
      <c r="C183" s="555"/>
      <c r="D183" s="555"/>
      <c r="E183" s="555" t="s">
        <v>518</v>
      </c>
      <c r="F183" s="555"/>
      <c r="G183" s="555"/>
      <c r="H183" s="555" t="s">
        <v>518</v>
      </c>
      <c r="I183" s="555"/>
      <c r="J183" s="555"/>
      <c r="K183" s="555"/>
      <c r="L183" s="556" t="s">
        <v>519</v>
      </c>
      <c r="M183" s="556"/>
      <c r="N183" s="556"/>
      <c r="O183" s="556"/>
      <c r="P183" s="244"/>
    </row>
    <row r="184" spans="1:16" ht="21.75" x14ac:dyDescent="0.45">
      <c r="A184" s="555" t="s">
        <v>785</v>
      </c>
      <c r="B184" s="555"/>
      <c r="C184" s="555"/>
      <c r="D184" s="555"/>
      <c r="E184" s="555" t="s">
        <v>786</v>
      </c>
      <c r="F184" s="555"/>
      <c r="G184" s="555"/>
      <c r="H184" s="555" t="s">
        <v>520</v>
      </c>
      <c r="I184" s="555"/>
      <c r="J184" s="555"/>
      <c r="K184" s="555"/>
      <c r="L184" s="556" t="s">
        <v>521</v>
      </c>
      <c r="M184" s="556"/>
      <c r="N184" s="556"/>
      <c r="O184" s="556"/>
      <c r="P184" s="244"/>
    </row>
    <row r="185" spans="1:16" ht="21.75" x14ac:dyDescent="0.45">
      <c r="A185" s="555" t="s">
        <v>787</v>
      </c>
      <c r="B185" s="555"/>
      <c r="C185" s="555"/>
      <c r="D185" s="555"/>
      <c r="E185" s="555" t="s">
        <v>522</v>
      </c>
      <c r="F185" s="555"/>
      <c r="G185" s="555"/>
      <c r="H185" s="555" t="s">
        <v>523</v>
      </c>
      <c r="I185" s="555"/>
      <c r="J185" s="555"/>
      <c r="K185" s="555"/>
      <c r="L185" s="556" t="s">
        <v>524</v>
      </c>
      <c r="M185" s="556"/>
      <c r="N185" s="556"/>
      <c r="O185" s="556"/>
      <c r="P185" s="244"/>
    </row>
  </sheetData>
  <sortState ref="A8:P108">
    <sortCondition ref="F8:F108"/>
  </sortState>
  <mergeCells count="30">
    <mergeCell ref="A1:O1"/>
    <mergeCell ref="A2:O2"/>
    <mergeCell ref="A3:O3"/>
    <mergeCell ref="A5:A7"/>
    <mergeCell ref="B5:I5"/>
    <mergeCell ref="J5:N5"/>
    <mergeCell ref="O5:O7"/>
    <mergeCell ref="B6:B7"/>
    <mergeCell ref="C6:C7"/>
    <mergeCell ref="D6:D7"/>
    <mergeCell ref="L6:N6"/>
    <mergeCell ref="E6:E7"/>
    <mergeCell ref="F6:F7"/>
    <mergeCell ref="G6:G7"/>
    <mergeCell ref="H6:H7"/>
    <mergeCell ref="I6:I7"/>
    <mergeCell ref="A185:D185"/>
    <mergeCell ref="E185:G185"/>
    <mergeCell ref="H185:K185"/>
    <mergeCell ref="L185:O185"/>
    <mergeCell ref="J6:K6"/>
    <mergeCell ref="A184:D184"/>
    <mergeCell ref="E184:G184"/>
    <mergeCell ref="H184:K184"/>
    <mergeCell ref="L184:O184"/>
    <mergeCell ref="A115:H115"/>
    <mergeCell ref="A183:D183"/>
    <mergeCell ref="E183:G183"/>
    <mergeCell ref="H183:K183"/>
    <mergeCell ref="L183:O18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ปีงปม.67สรุป100%(ณ30กย67)</vt:lpstr>
      <vt:lpstr>ปีงปม.67สรุป(ณ30กย67)</vt:lpstr>
      <vt:lpstr>ปีงปม.67รายละเอียด(ณ30กย67)</vt:lpstr>
      <vt:lpstr>ปีงปม.66สรุป</vt:lpstr>
      <vt:lpstr>ปีงปม.66รายละเอียด</vt:lpstr>
      <vt:lpstr>ปีงปม.65สรุป</vt:lpstr>
      <vt:lpstr>ปีงปม.65รายละเอียด</vt:lpstr>
      <vt:lpstr>ปีงปม.64สรุป</vt:lpstr>
      <vt:lpstr>ปีงปม.64 รายละเอียด</vt:lpstr>
      <vt:lpstr>ปีงปม.63</vt:lpstr>
      <vt:lpstr>ปีงปม.62</vt:lpstr>
      <vt:lpstr>ปีงปม.61</vt:lpstr>
      <vt:lpstr>ปีงปม.60</vt:lpstr>
      <vt:lpstr>ปีงปม.59</vt:lpstr>
      <vt:lpstr>ปีงปม.58</vt:lpstr>
      <vt:lpstr>เริ่มเก็บ22กย57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2021-12-20T09:07:09Z</dcterms:created>
  <dcterms:modified xsi:type="dcterms:W3CDTF">2024-10-22T04:29:17Z</dcterms:modified>
</cp:coreProperties>
</file>